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cuments/Colman AFM/2025 A/"/>
    </mc:Choice>
  </mc:AlternateContent>
  <xr:revisionPtr revIDLastSave="0" documentId="13_ncr:1_{4DB3F36C-9D0F-744A-B762-5E5539AB189E}" xr6:coauthVersionLast="47" xr6:coauthVersionMax="47" xr10:uidLastSave="{00000000-0000-0000-0000-000000000000}"/>
  <bookViews>
    <workbookView xWindow="0" yWindow="500" windowWidth="51200" windowHeight="29580" activeTab="12" xr2:uid="{6320FAD6-AFC9-8340-8748-76A775410B9C}"/>
  </bookViews>
  <sheets>
    <sheet name="COVER" sheetId="2" r:id="rId1"/>
    <sheet name="1" sheetId="4" r:id="rId2"/>
    <sheet name="2" sheetId="5" r:id="rId3"/>
    <sheet name="3" sheetId="14" r:id="rId4"/>
    <sheet name="4" sheetId="6" r:id="rId5"/>
    <sheet name="5" sheetId="9" r:id="rId6"/>
    <sheet name="6" sheetId="7" r:id="rId7"/>
    <sheet name="7" sheetId="10" r:id="rId8"/>
    <sheet name="8" sheetId="11" r:id="rId9"/>
    <sheet name="9" sheetId="15" r:id="rId10"/>
    <sheet name="10 New" sheetId="16" r:id="rId11"/>
    <sheet name="11 New" sheetId="17" r:id="rId12"/>
    <sheet name="12 New" sheetId="18" r:id="rId13"/>
    <sheet name="10" sheetId="13" r:id="rId14"/>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118" i="16" l="1"/>
  <c r="S83" i="16" l="1"/>
  <c r="S84" i="16"/>
  <c r="D117" i="16"/>
  <c r="E107" i="16"/>
  <c r="S120" i="16"/>
  <c r="O120" i="16"/>
  <c r="O83" i="16"/>
  <c r="O84" i="16"/>
  <c r="O85" i="16"/>
  <c r="O86" i="16"/>
  <c r="O87" i="16"/>
  <c r="O88" i="16"/>
  <c r="O89" i="16"/>
  <c r="O90" i="16"/>
  <c r="O91" i="16"/>
  <c r="O92" i="16"/>
  <c r="O93" i="16"/>
  <c r="O94" i="16"/>
  <c r="O95" i="16"/>
  <c r="O96" i="16"/>
  <c r="O97" i="16"/>
  <c r="O98" i="16"/>
  <c r="O99" i="16"/>
  <c r="O100" i="16"/>
  <c r="O101" i="16"/>
  <c r="O102" i="16"/>
  <c r="O103" i="16"/>
  <c r="O104" i="16"/>
  <c r="O105" i="16"/>
  <c r="O106" i="16"/>
  <c r="O107" i="16"/>
  <c r="O108" i="16"/>
  <c r="O109" i="16"/>
  <c r="O110" i="16"/>
  <c r="O111" i="16"/>
  <c r="O112" i="16"/>
  <c r="O113" i="16"/>
  <c r="O114" i="16"/>
  <c r="O115" i="16"/>
  <c r="O116" i="16"/>
  <c r="O117" i="16"/>
  <c r="O118" i="16"/>
  <c r="O82" i="16"/>
  <c r="N95" i="16"/>
  <c r="N83" i="16"/>
  <c r="N117" i="16"/>
  <c r="N118" i="16"/>
  <c r="N96" i="16"/>
  <c r="N97" i="16"/>
  <c r="N98" i="16"/>
  <c r="N99" i="16"/>
  <c r="N100" i="16"/>
  <c r="N101" i="16"/>
  <c r="N102" i="16"/>
  <c r="N103" i="16"/>
  <c r="N104" i="16"/>
  <c r="N105" i="16"/>
  <c r="N106" i="16"/>
  <c r="N107" i="16"/>
  <c r="N108" i="16"/>
  <c r="N109" i="16"/>
  <c r="N110" i="16"/>
  <c r="N111" i="16"/>
  <c r="N112" i="16"/>
  <c r="N113" i="16"/>
  <c r="N114" i="16"/>
  <c r="N115" i="16"/>
  <c r="N116" i="16"/>
  <c r="N84" i="16"/>
  <c r="N85" i="16"/>
  <c r="N86" i="16"/>
  <c r="N87" i="16"/>
  <c r="N88" i="16"/>
  <c r="N89" i="16"/>
  <c r="N90" i="16"/>
  <c r="N91" i="16"/>
  <c r="N92" i="16"/>
  <c r="N93" i="16"/>
  <c r="N94" i="16"/>
  <c r="L94" i="16"/>
  <c r="L118" i="16"/>
  <c r="L106" i="16"/>
  <c r="J118" i="16"/>
  <c r="J112" i="16"/>
  <c r="J113" i="16"/>
  <c r="J114" i="16" s="1"/>
  <c r="J115" i="16" s="1"/>
  <c r="J116" i="16" s="1"/>
  <c r="J117" i="16" s="1"/>
  <c r="J101" i="16"/>
  <c r="J102" i="16" s="1"/>
  <c r="J103" i="16" s="1"/>
  <c r="J104" i="16" s="1"/>
  <c r="J105" i="16" s="1"/>
  <c r="J106" i="16" s="1"/>
  <c r="J107" i="16" s="1"/>
  <c r="J108" i="16" s="1"/>
  <c r="J109" i="16" s="1"/>
  <c r="J110" i="16" s="1"/>
  <c r="J111" i="16" s="1"/>
  <c r="J84" i="16"/>
  <c r="J85" i="16" s="1"/>
  <c r="J86" i="16" s="1"/>
  <c r="J87" i="16" s="1"/>
  <c r="J88" i="16" s="1"/>
  <c r="J89" i="16" s="1"/>
  <c r="J90" i="16" s="1"/>
  <c r="J91" i="16" s="1"/>
  <c r="J92" i="16" s="1"/>
  <c r="J93" i="16" s="1"/>
  <c r="J94" i="16" s="1"/>
  <c r="J95" i="16" s="1"/>
  <c r="J96" i="16" s="1"/>
  <c r="J97" i="16" s="1"/>
  <c r="J98" i="16" s="1"/>
  <c r="J99" i="16" s="1"/>
  <c r="J100" i="16" s="1"/>
  <c r="J83" i="16"/>
  <c r="T40" i="16"/>
  <c r="T28" i="16"/>
  <c r="T29" i="16"/>
  <c r="T30" i="16"/>
  <c r="T31" i="16"/>
  <c r="T32" i="16"/>
  <c r="T33" i="16"/>
  <c r="T34" i="16"/>
  <c r="T35" i="16"/>
  <c r="T36" i="16"/>
  <c r="T27" i="16"/>
  <c r="S27" i="16"/>
  <c r="S28" i="16" s="1"/>
  <c r="S29" i="16" s="1"/>
  <c r="S30" i="16" s="1"/>
  <c r="S31" i="16" s="1"/>
  <c r="S32" i="16" s="1"/>
  <c r="S33" i="16" s="1"/>
  <c r="S34" i="16" s="1"/>
  <c r="S35" i="16" s="1"/>
  <c r="S36" i="16" s="1"/>
  <c r="P40" i="16"/>
  <c r="P27" i="16"/>
  <c r="P28" i="16"/>
  <c r="P29" i="16"/>
  <c r="P30" i="16"/>
  <c r="P31" i="16"/>
  <c r="P32" i="16"/>
  <c r="P33" i="16"/>
  <c r="P34" i="16"/>
  <c r="P35" i="16"/>
  <c r="P36" i="16"/>
  <c r="P26" i="16"/>
  <c r="O33" i="16"/>
  <c r="O34" i="16"/>
  <c r="O35" i="16"/>
  <c r="O36" i="16"/>
  <c r="O29" i="16"/>
  <c r="O30" i="16" s="1"/>
  <c r="O31" i="16" s="1"/>
  <c r="O32" i="16" s="1"/>
  <c r="O28" i="16"/>
  <c r="O27" i="16"/>
  <c r="N36" i="16"/>
  <c r="M36" i="16"/>
  <c r="L27" i="16"/>
  <c r="K55" i="16"/>
  <c r="K51" i="16"/>
  <c r="K50" i="16"/>
  <c r="K49" i="16"/>
  <c r="K46" i="16"/>
  <c r="K43" i="16"/>
  <c r="K42" i="16"/>
  <c r="L29" i="16"/>
  <c r="L30" i="16" s="1"/>
  <c r="L31" i="16" s="1"/>
  <c r="L32" i="16" s="1"/>
  <c r="L33" i="16" s="1"/>
  <c r="L34" i="16" s="1"/>
  <c r="L35" i="16" s="1"/>
  <c r="L36" i="16" s="1"/>
  <c r="L28" i="16"/>
  <c r="J36" i="16"/>
  <c r="J28" i="16"/>
  <c r="J29" i="16"/>
  <c r="J30" i="16"/>
  <c r="J31" i="16"/>
  <c r="J32" i="16"/>
  <c r="J33" i="16" s="1"/>
  <c r="J34" i="16" s="1"/>
  <c r="J35" i="16" s="1"/>
  <c r="J27" i="16"/>
  <c r="O122" i="16" l="1"/>
  <c r="E110" i="16" s="1"/>
  <c r="E109" i="16" s="1"/>
  <c r="S85" i="16"/>
  <c r="S86" i="16" s="1"/>
  <c r="F340" i="11"/>
  <c r="E352" i="11" s="1"/>
  <c r="E354" i="11" s="1"/>
  <c r="F341" i="11"/>
  <c r="F372" i="11" s="1"/>
  <c r="E364" i="11"/>
  <c r="F373" i="11"/>
  <c r="A387" i="11"/>
  <c r="D441" i="11"/>
  <c r="D444" i="11" s="1"/>
  <c r="B464" i="11"/>
  <c r="B465" i="11" s="1"/>
  <c r="B466" i="11" s="1"/>
  <c r="B467" i="11" s="1"/>
  <c r="B468" i="11" s="1"/>
  <c r="B469" i="11" s="1"/>
  <c r="B470" i="11" s="1"/>
  <c r="C464" i="11"/>
  <c r="F497" i="11"/>
  <c r="D515" i="11"/>
  <c r="D524" i="11" s="1"/>
  <c r="D527" i="11"/>
  <c r="D530" i="11" s="1"/>
  <c r="C541" i="11" s="1"/>
  <c r="D534" i="11"/>
  <c r="D538" i="11"/>
  <c r="D169" i="11"/>
  <c r="D107" i="11"/>
  <c r="S87" i="16" l="1"/>
  <c r="S88" i="16" s="1"/>
  <c r="S89" i="16" s="1"/>
  <c r="S90" i="16" s="1"/>
  <c r="S91" i="16" s="1"/>
  <c r="S92" i="16" s="1"/>
  <c r="S93" i="16" s="1"/>
  <c r="S94" i="16" s="1"/>
  <c r="S95" i="16" s="1"/>
  <c r="S96" i="16" s="1"/>
  <c r="S97" i="16" s="1"/>
  <c r="S98" i="16" s="1"/>
  <c r="S99" i="16" s="1"/>
  <c r="S100" i="16" s="1"/>
  <c r="S101" i="16" s="1"/>
  <c r="S102" i="16" s="1"/>
  <c r="S103" i="16" s="1"/>
  <c r="S104" i="16" s="1"/>
  <c r="S105" i="16" s="1"/>
  <c r="S106" i="16" s="1"/>
  <c r="S107" i="16" s="1"/>
  <c r="S108" i="16" s="1"/>
  <c r="S109" i="16" s="1"/>
  <c r="S110" i="16" s="1"/>
  <c r="S111" i="16" s="1"/>
  <c r="S112" i="16" s="1"/>
  <c r="S113" i="16" s="1"/>
  <c r="S114" i="16" s="1"/>
  <c r="S115" i="16" s="1"/>
  <c r="C447" i="11"/>
  <c r="E452" i="11" s="1"/>
  <c r="E546" i="11"/>
  <c r="C465" i="11"/>
  <c r="C466" i="11" s="1"/>
  <c r="C467" i="11" s="1"/>
  <c r="C468" i="11" s="1"/>
  <c r="C469" i="11" s="1"/>
  <c r="C470" i="11" s="1"/>
  <c r="D767" i="10"/>
  <c r="D771" i="10"/>
  <c r="D775" i="10"/>
  <c r="C777" i="10"/>
  <c r="C778" i="10" s="1"/>
  <c r="C779" i="10" s="1"/>
  <c r="E337" i="10"/>
  <c r="E341" i="10"/>
  <c r="E345" i="10"/>
  <c r="E349" i="10"/>
  <c r="E353" i="10"/>
  <c r="E357" i="10"/>
  <c r="D372" i="10"/>
  <c r="D373" i="10" s="1"/>
  <c r="D281" i="10"/>
  <c r="B282" i="10"/>
  <c r="B283" i="10" s="1"/>
  <c r="B284" i="10" s="1"/>
  <c r="B285" i="10" s="1"/>
  <c r="B286" i="10" s="1"/>
  <c r="C285" i="10" s="1"/>
  <c r="D213" i="10"/>
  <c r="D203" i="10"/>
  <c r="D205" i="10" s="1"/>
  <c r="D207" i="10" s="1"/>
  <c r="D210" i="10" s="1"/>
  <c r="E87" i="10"/>
  <c r="E88" i="10" s="1"/>
  <c r="D87" i="10"/>
  <c r="D88" i="10" s="1"/>
  <c r="F87" i="10"/>
  <c r="D759" i="7"/>
  <c r="B788" i="7"/>
  <c r="B841" i="7"/>
  <c r="G431" i="7"/>
  <c r="G430" i="7"/>
  <c r="G429" i="7"/>
  <c r="J365" i="7"/>
  <c r="D334" i="7"/>
  <c r="D316" i="9"/>
  <c r="E316" i="9" s="1"/>
  <c r="D317" i="9"/>
  <c r="E317" i="9" s="1"/>
  <c r="D318" i="9"/>
  <c r="E318" i="9" s="1"/>
  <c r="F314" i="9"/>
  <c r="F315" i="9" s="1"/>
  <c r="F316" i="9" s="1"/>
  <c r="F317" i="9" s="1"/>
  <c r="F318" i="9" s="1"/>
  <c r="F319" i="9" s="1"/>
  <c r="F320" i="9" s="1"/>
  <c r="F321" i="9" s="1"/>
  <c r="H233" i="9"/>
  <c r="F223" i="9"/>
  <c r="F225" i="9"/>
  <c r="F226" i="9" s="1"/>
  <c r="F227" i="9" s="1"/>
  <c r="D225" i="9"/>
  <c r="E225" i="9" s="1"/>
  <c r="C230" i="9"/>
  <c r="S116" i="16" l="1"/>
  <c r="S117" i="16" s="1"/>
  <c r="S118" i="16" s="1"/>
  <c r="C472" i="11"/>
  <c r="D779" i="10"/>
  <c r="D215" i="10"/>
  <c r="D380" i="10"/>
  <c r="D383" i="10" s="1"/>
  <c r="D285" i="10"/>
  <c r="D284" i="10"/>
  <c r="D283" i="10"/>
  <c r="D282" i="10"/>
  <c r="D292" i="10" s="1"/>
  <c r="G433" i="7"/>
  <c r="D315" i="9"/>
  <c r="E315" i="9" s="1"/>
  <c r="D320" i="9"/>
  <c r="E320" i="9" s="1"/>
  <c r="D319" i="9"/>
  <c r="E319" i="9" s="1"/>
  <c r="D321" i="9"/>
  <c r="E321" i="9" s="1"/>
  <c r="D226" i="9"/>
  <c r="E226" i="9" s="1"/>
  <c r="F228" i="9"/>
  <c r="D228" i="9"/>
  <c r="E228" i="9" s="1"/>
  <c r="D227" i="9"/>
  <c r="E227" i="9" s="1"/>
  <c r="S122" i="16" l="1"/>
  <c r="E313" i="9"/>
  <c r="E314" i="9" s="1"/>
  <c r="H317" i="9" s="1"/>
  <c r="F229" i="9"/>
  <c r="D229" i="9"/>
  <c r="E229" i="9" s="1"/>
  <c r="F230" i="9" l="1"/>
  <c r="D230" i="9"/>
  <c r="E230" i="9" s="1"/>
  <c r="E223" i="9" s="1"/>
  <c r="E224" i="9" s="1"/>
  <c r="C236" i="9" s="1"/>
  <c r="E180" i="9" l="1"/>
  <c r="D181" i="9"/>
  <c r="E181" i="9" s="1"/>
  <c r="F181" i="9"/>
  <c r="D182" i="9" s="1"/>
  <c r="E182" i="9" s="1"/>
  <c r="E123" i="9"/>
  <c r="F124" i="9"/>
  <c r="F125" i="9" s="1"/>
  <c r="D124" i="9"/>
  <c r="E124" i="9" s="1"/>
  <c r="C128" i="9"/>
  <c r="F104" i="9"/>
  <c r="F105" i="9" s="1"/>
  <c r="F106" i="9" s="1"/>
  <c r="D104" i="9"/>
  <c r="E104" i="9" s="1"/>
  <c r="C108" i="9"/>
  <c r="F37" i="9"/>
  <c r="D38" i="9" s="1"/>
  <c r="E38" i="9" s="1"/>
  <c r="D37" i="9"/>
  <c r="E37" i="9" s="1"/>
  <c r="G324" i="6"/>
  <c r="F316" i="6"/>
  <c r="F310" i="6"/>
  <c r="D274" i="6"/>
  <c r="D275" i="6"/>
  <c r="D276" i="6"/>
  <c r="D277" i="6"/>
  <c r="D278" i="6"/>
  <c r="D261" i="6"/>
  <c r="D262" i="6"/>
  <c r="D263" i="6"/>
  <c r="D264" i="6"/>
  <c r="D265" i="6"/>
  <c r="D266" i="6"/>
  <c r="D267" i="6"/>
  <c r="D268" i="6"/>
  <c r="D269" i="6"/>
  <c r="D270" i="6"/>
  <c r="D271" i="6"/>
  <c r="D272" i="6"/>
  <c r="D273" i="6"/>
  <c r="D260" i="6"/>
  <c r="C260" i="6"/>
  <c r="B261" i="6"/>
  <c r="B262" i="6" s="1"/>
  <c r="B263" i="6" s="1"/>
  <c r="B264" i="6" s="1"/>
  <c r="B265" i="6" s="1"/>
  <c r="B266" i="6" s="1"/>
  <c r="B267" i="6" s="1"/>
  <c r="B268" i="6" s="1"/>
  <c r="B269" i="6" s="1"/>
  <c r="B270" i="6" s="1"/>
  <c r="B271" i="6" s="1"/>
  <c r="B272" i="6" s="1"/>
  <c r="B273" i="6" s="1"/>
  <c r="B274" i="6" s="1"/>
  <c r="B275" i="6" s="1"/>
  <c r="B276" i="6" s="1"/>
  <c r="B277" i="6" s="1"/>
  <c r="B278" i="6" s="1"/>
  <c r="B279" i="6" s="1"/>
  <c r="B218" i="6"/>
  <c r="B217" i="6" s="1"/>
  <c r="F218" i="6"/>
  <c r="B150" i="6"/>
  <c r="D150" i="6" s="1"/>
  <c r="D151" i="6" s="1"/>
  <c r="B132" i="6"/>
  <c r="D132" i="6" s="1"/>
  <c r="D131" i="6" s="1"/>
  <c r="D117" i="6"/>
  <c r="D116" i="6" s="1"/>
  <c r="B117" i="6"/>
  <c r="C243" i="14"/>
  <c r="F233" i="14"/>
  <c r="E229" i="14"/>
  <c r="D214" i="14"/>
  <c r="E214" i="14" s="1"/>
  <c r="G214" i="14"/>
  <c r="G215" i="14" s="1"/>
  <c r="E159" i="14"/>
  <c r="F159" i="14" s="1"/>
  <c r="H159" i="14"/>
  <c r="E161" i="14" s="1"/>
  <c r="F161" i="14" s="1"/>
  <c r="D183" i="14"/>
  <c r="D179" i="14"/>
  <c r="D175" i="14"/>
  <c r="D171" i="14"/>
  <c r="C161" i="14"/>
  <c r="C163" i="14" s="1"/>
  <c r="C165" i="14" s="1"/>
  <c r="C167" i="14" s="1"/>
  <c r="C169" i="14" s="1"/>
  <c r="C171" i="14" s="1"/>
  <c r="C173" i="14" s="1"/>
  <c r="C175" i="14" s="1"/>
  <c r="C177" i="14" s="1"/>
  <c r="C179" i="14" s="1"/>
  <c r="C181" i="14" s="1"/>
  <c r="C183" i="14" s="1"/>
  <c r="D128" i="14"/>
  <c r="H124" i="14"/>
  <c r="H126" i="14" s="1"/>
  <c r="E124" i="14"/>
  <c r="F124" i="14" s="1"/>
  <c r="E109" i="14"/>
  <c r="F109" i="14" s="1"/>
  <c r="H109" i="14"/>
  <c r="H110" i="14" s="1"/>
  <c r="D111" i="14"/>
  <c r="H77" i="14"/>
  <c r="H78" i="14" s="1"/>
  <c r="D77" i="14"/>
  <c r="F77" i="14" s="1"/>
  <c r="C77" i="14"/>
  <c r="C78" i="14" s="1"/>
  <c r="C79" i="14" s="1"/>
  <c r="C80" i="14" s="1"/>
  <c r="C81" i="14" s="1"/>
  <c r="C82" i="14" s="1"/>
  <c r="C83" i="14" s="1"/>
  <c r="C84" i="14" s="1"/>
  <c r="C85" i="14" s="1"/>
  <c r="C86" i="14" s="1"/>
  <c r="C87" i="14" s="1"/>
  <c r="C88" i="14" s="1"/>
  <c r="C89" i="14" s="1"/>
  <c r="C90" i="14" s="1"/>
  <c r="C91" i="14" s="1"/>
  <c r="D30" i="14"/>
  <c r="F30" i="14" s="1"/>
  <c r="H30" i="14"/>
  <c r="D31" i="14" s="1"/>
  <c r="F31" i="14" s="1"/>
  <c r="E45" i="14"/>
  <c r="E41" i="14"/>
  <c r="C30" i="14"/>
  <c r="C31" i="14" s="1"/>
  <c r="C32" i="14" s="1"/>
  <c r="C33" i="14" s="1"/>
  <c r="C34" i="14" s="1"/>
  <c r="C35" i="14" s="1"/>
  <c r="C36" i="14" s="1"/>
  <c r="C37" i="14" s="1"/>
  <c r="C38" i="14" s="1"/>
  <c r="C39" i="14" s="1"/>
  <c r="C40" i="14" s="1"/>
  <c r="C41" i="14" s="1"/>
  <c r="C42" i="14" s="1"/>
  <c r="C43" i="14" s="1"/>
  <c r="C44" i="14" s="1"/>
  <c r="C45" i="14" s="1"/>
  <c r="E416" i="5"/>
  <c r="E418" i="5"/>
  <c r="E420" i="5" s="1"/>
  <c r="E422" i="5" s="1"/>
  <c r="E424" i="5" s="1"/>
  <c r="F373" i="5"/>
  <c r="F380" i="5" s="1"/>
  <c r="E380" i="5"/>
  <c r="D380" i="5"/>
  <c r="D313" i="5"/>
  <c r="E313" i="5"/>
  <c r="C433" i="5"/>
  <c r="C416" i="5"/>
  <c r="C417" i="5" s="1"/>
  <c r="C418" i="5" s="1"/>
  <c r="C419" i="5" s="1"/>
  <c r="C420" i="5" s="1"/>
  <c r="C421" i="5" s="1"/>
  <c r="C422" i="5" s="1"/>
  <c r="C423" i="5" s="1"/>
  <c r="C424" i="5" s="1"/>
  <c r="H415" i="5"/>
  <c r="D416" i="5" s="1"/>
  <c r="F416" i="5" s="1"/>
  <c r="D415" i="5"/>
  <c r="F415" i="5" s="1"/>
  <c r="F388" i="5"/>
  <c r="E388" i="5"/>
  <c r="D388" i="5"/>
  <c r="F386" i="5"/>
  <c r="E386" i="5"/>
  <c r="D386" i="5"/>
  <c r="E372" i="5"/>
  <c r="D372" i="5" s="1"/>
  <c r="F371" i="5"/>
  <c r="E371" i="5"/>
  <c r="D371" i="5" s="1"/>
  <c r="F370" i="5"/>
  <c r="E370" i="5" s="1"/>
  <c r="D370" i="5" s="1"/>
  <c r="F369" i="5"/>
  <c r="E369" i="5" s="1"/>
  <c r="D369" i="5" s="1"/>
  <c r="F368" i="5"/>
  <c r="E368" i="5" s="1"/>
  <c r="D368" i="5" s="1"/>
  <c r="F367" i="5"/>
  <c r="E367" i="5"/>
  <c r="D367" i="5"/>
  <c r="F366" i="5"/>
  <c r="E366" i="5" s="1"/>
  <c r="D366" i="5" s="1"/>
  <c r="F365" i="5"/>
  <c r="E365" i="5" s="1"/>
  <c r="D365" i="5" s="1"/>
  <c r="F364" i="5"/>
  <c r="E364" i="5" s="1"/>
  <c r="D364" i="5" s="1"/>
  <c r="F363" i="5"/>
  <c r="E363" i="5" s="1"/>
  <c r="D363" i="5" s="1"/>
  <c r="F362" i="5"/>
  <c r="E362" i="5" s="1"/>
  <c r="D362" i="5" s="1"/>
  <c r="F361" i="5"/>
  <c r="E361" i="5" s="1"/>
  <c r="D361" i="5" s="1"/>
  <c r="F360" i="5"/>
  <c r="E360" i="5" s="1"/>
  <c r="D360" i="5" s="1"/>
  <c r="F359" i="5"/>
  <c r="E359" i="5"/>
  <c r="D359" i="5" s="1"/>
  <c r="F358" i="5"/>
  <c r="E358" i="5" s="1"/>
  <c r="D358" i="5" s="1"/>
  <c r="F357" i="5"/>
  <c r="E357" i="5" s="1"/>
  <c r="D357" i="5" s="1"/>
  <c r="F356" i="5"/>
  <c r="E356" i="5" s="1"/>
  <c r="D356" i="5" s="1"/>
  <c r="F355" i="5"/>
  <c r="E355" i="5"/>
  <c r="D355" i="5" s="1"/>
  <c r="F354" i="5"/>
  <c r="E354" i="5" s="1"/>
  <c r="B354" i="5"/>
  <c r="B355" i="5" s="1"/>
  <c r="B356" i="5" s="1"/>
  <c r="B357" i="5" s="1"/>
  <c r="B358" i="5" s="1"/>
  <c r="B359" i="5" s="1"/>
  <c r="B360" i="5" s="1"/>
  <c r="B361" i="5" s="1"/>
  <c r="B362" i="5" s="1"/>
  <c r="B363" i="5" s="1"/>
  <c r="B364" i="5" s="1"/>
  <c r="B365" i="5" s="1"/>
  <c r="B366" i="5" s="1"/>
  <c r="B367" i="5" s="1"/>
  <c r="B368" i="5" s="1"/>
  <c r="B369" i="5" s="1"/>
  <c r="B370" i="5" s="1"/>
  <c r="B371" i="5" s="1"/>
  <c r="B372" i="5" s="1"/>
  <c r="F353" i="5"/>
  <c r="E353" i="5"/>
  <c r="D353" i="5" s="1"/>
  <c r="F334" i="5"/>
  <c r="F335" i="5" s="1"/>
  <c r="C334" i="5"/>
  <c r="C335" i="5" s="1"/>
  <c r="E320" i="5"/>
  <c r="E318" i="5" s="1"/>
  <c r="D333" i="5" s="1"/>
  <c r="D320" i="5"/>
  <c r="G334" i="5" s="1"/>
  <c r="C320" i="5"/>
  <c r="G335" i="5" s="1"/>
  <c r="D319" i="5"/>
  <c r="C319" i="5"/>
  <c r="C318" i="5" s="1"/>
  <c r="D335" i="5" s="1"/>
  <c r="E305" i="5"/>
  <c r="D305" i="5"/>
  <c r="D306" i="5" s="1"/>
  <c r="D307" i="5" s="1"/>
  <c r="C305" i="5"/>
  <c r="C306" i="5" s="1"/>
  <c r="E215" i="5"/>
  <c r="E138" i="5"/>
  <c r="D76" i="5"/>
  <c r="D447" i="4"/>
  <c r="F436" i="4"/>
  <c r="E408" i="4"/>
  <c r="E373" i="4"/>
  <c r="D352" i="4"/>
  <c r="C368" i="4"/>
  <c r="D193" i="4"/>
  <c r="C165" i="4"/>
  <c r="C57" i="4"/>
  <c r="D274" i="13"/>
  <c r="D273" i="13"/>
  <c r="D263" i="13"/>
  <c r="D262" i="13"/>
  <c r="E232" i="13"/>
  <c r="C229" i="13"/>
  <c r="E233" i="13" s="1"/>
  <c r="C192" i="13"/>
  <c r="B198" i="13"/>
  <c r="C63" i="13"/>
  <c r="E63" i="13" s="1"/>
  <c r="G63" i="13"/>
  <c r="G64" i="13" s="1"/>
  <c r="G65" i="13" s="1"/>
  <c r="G66" i="13" s="1"/>
  <c r="G67" i="13" s="1"/>
  <c r="G68" i="13" s="1"/>
  <c r="G69" i="13" s="1"/>
  <c r="G70" i="13" s="1"/>
  <c r="D71" i="13"/>
  <c r="D75" i="13" s="1"/>
  <c r="D79" i="13" s="1"/>
  <c r="D83" i="13" s="1"/>
  <c r="D27" i="13"/>
  <c r="F182" i="9" l="1"/>
  <c r="D125" i="9"/>
  <c r="E125" i="9" s="1"/>
  <c r="F126" i="9"/>
  <c r="D126" i="9"/>
  <c r="E126" i="9" s="1"/>
  <c r="D105" i="9"/>
  <c r="E105" i="9" s="1"/>
  <c r="D106" i="9"/>
  <c r="E106" i="9" s="1"/>
  <c r="D107" i="9"/>
  <c r="E107" i="9" s="1"/>
  <c r="F107" i="9"/>
  <c r="F38" i="9"/>
  <c r="D282" i="6"/>
  <c r="D283" i="6"/>
  <c r="C261" i="6"/>
  <c r="D284" i="6"/>
  <c r="D215" i="14"/>
  <c r="E215" i="14" s="1"/>
  <c r="G216" i="14"/>
  <c r="D216" i="14"/>
  <c r="E216" i="14" s="1"/>
  <c r="E230" i="14"/>
  <c r="F232" i="14" s="1"/>
  <c r="H161" i="14"/>
  <c r="H128" i="14"/>
  <c r="E128" i="14"/>
  <c r="F128" i="14" s="1"/>
  <c r="D130" i="14"/>
  <c r="E126" i="14"/>
  <c r="F126" i="14" s="1"/>
  <c r="H111" i="14"/>
  <c r="E111" i="14"/>
  <c r="F111" i="14" s="1"/>
  <c r="E110" i="14"/>
  <c r="F110" i="14" s="1"/>
  <c r="D112" i="14"/>
  <c r="D79" i="14"/>
  <c r="F79" i="14" s="1"/>
  <c r="H79" i="14"/>
  <c r="D78" i="14"/>
  <c r="F78" i="14" s="1"/>
  <c r="H31" i="14"/>
  <c r="D385" i="5"/>
  <c r="D393" i="5" s="1"/>
  <c r="H416" i="5"/>
  <c r="H417" i="5" s="1"/>
  <c r="E385" i="5"/>
  <c r="E393" i="5" s="1"/>
  <c r="F385" i="5"/>
  <c r="F393" i="5" s="1"/>
  <c r="G333" i="5"/>
  <c r="D418" i="5"/>
  <c r="D308" i="5"/>
  <c r="D309" i="5" s="1"/>
  <c r="D310" i="5" s="1"/>
  <c r="D354" i="5"/>
  <c r="D373" i="5" s="1"/>
  <c r="E373" i="5"/>
  <c r="C307" i="5"/>
  <c r="C308" i="5" s="1"/>
  <c r="C309" i="5" s="1"/>
  <c r="C310" i="5" s="1"/>
  <c r="D318" i="5"/>
  <c r="D334" i="5" s="1"/>
  <c r="D417" i="5"/>
  <c r="F417" i="5" s="1"/>
  <c r="E306" i="5"/>
  <c r="E307" i="5" s="1"/>
  <c r="E308" i="5" s="1"/>
  <c r="E309" i="5" s="1"/>
  <c r="E310" i="5" s="1"/>
  <c r="E234" i="13"/>
  <c r="G71" i="13"/>
  <c r="G72" i="13" s="1"/>
  <c r="G73" i="13" s="1"/>
  <c r="G74" i="13" s="1"/>
  <c r="G75" i="13" s="1"/>
  <c r="G76" i="13" s="1"/>
  <c r="G77" i="13" s="1"/>
  <c r="G78" i="13" s="1"/>
  <c r="G79" i="13" s="1"/>
  <c r="G80" i="13" s="1"/>
  <c r="G81" i="13" s="1"/>
  <c r="G82" i="13" s="1"/>
  <c r="G83" i="13" s="1"/>
  <c r="C67" i="13"/>
  <c r="E67" i="13" s="1"/>
  <c r="C71" i="13"/>
  <c r="E71" i="13" s="1"/>
  <c r="F183" i="9" l="1"/>
  <c r="D183" i="9"/>
  <c r="E183" i="9" s="1"/>
  <c r="F127" i="9"/>
  <c r="D127" i="9"/>
  <c r="E127" i="9" s="1"/>
  <c r="D108" i="9"/>
  <c r="E108" i="9" s="1"/>
  <c r="E111" i="9" s="1"/>
  <c r="E112" i="9" s="1"/>
  <c r="F108" i="9"/>
  <c r="D39" i="9"/>
  <c r="E39" i="9" s="1"/>
  <c r="F39" i="9"/>
  <c r="C262" i="6"/>
  <c r="C263" i="6" s="1"/>
  <c r="C264" i="6" s="1"/>
  <c r="C265" i="6" s="1"/>
  <c r="C266" i="6" s="1"/>
  <c r="C267" i="6" s="1"/>
  <c r="C268" i="6" s="1"/>
  <c r="C284" i="6"/>
  <c r="C283" i="6"/>
  <c r="C282" i="6"/>
  <c r="G217" i="14"/>
  <c r="D217" i="14"/>
  <c r="E217" i="14" s="1"/>
  <c r="H163" i="14"/>
  <c r="E163" i="14"/>
  <c r="F163" i="14" s="1"/>
  <c r="H130" i="14"/>
  <c r="E130" i="14"/>
  <c r="F130" i="14" s="1"/>
  <c r="F133" i="14" s="1"/>
  <c r="F135" i="14" s="1"/>
  <c r="H112" i="14"/>
  <c r="E112" i="14"/>
  <c r="F112" i="14" s="1"/>
  <c r="H80" i="14"/>
  <c r="D80" i="14"/>
  <c r="F80" i="14" s="1"/>
  <c r="H32" i="14"/>
  <c r="D32" i="14"/>
  <c r="F32" i="14" s="1"/>
  <c r="H418" i="5"/>
  <c r="F418" i="5"/>
  <c r="C313" i="5"/>
  <c r="D419" i="5"/>
  <c r="F419" i="5" s="1"/>
  <c r="H419" i="5"/>
  <c r="C75" i="13"/>
  <c r="E75" i="13" s="1"/>
  <c r="C79" i="13"/>
  <c r="E79" i="13" s="1"/>
  <c r="C243" i="15"/>
  <c r="C258" i="15"/>
  <c r="C285" i="15"/>
  <c r="D265" i="11"/>
  <c r="D266" i="11" s="1"/>
  <c r="D267" i="11" s="1"/>
  <c r="D268" i="11" s="1"/>
  <c r="D269" i="11" s="1"/>
  <c r="D270" i="11" s="1"/>
  <c r="D271" i="11" s="1"/>
  <c r="D272" i="11" s="1"/>
  <c r="D273" i="11" s="1"/>
  <c r="D274" i="11" s="1"/>
  <c r="D275" i="11" s="1"/>
  <c r="D276" i="11" s="1"/>
  <c r="D277" i="11" s="1"/>
  <c r="D278" i="11" s="1"/>
  <c r="D279" i="11" s="1"/>
  <c r="D280" i="11" s="1"/>
  <c r="D281" i="11" s="1"/>
  <c r="D282" i="11" s="1"/>
  <c r="D283" i="11" s="1"/>
  <c r="D284" i="11" s="1"/>
  <c r="D285" i="11" s="1"/>
  <c r="D286" i="11" s="1"/>
  <c r="D287" i="11" s="1"/>
  <c r="D288" i="11" s="1"/>
  <c r="D289" i="11" s="1"/>
  <c r="D290" i="11" s="1"/>
  <c r="D291" i="11" s="1"/>
  <c r="D292" i="11" s="1"/>
  <c r="D293" i="11" s="1"/>
  <c r="C265" i="11"/>
  <c r="C266" i="11" s="1"/>
  <c r="C267" i="11" s="1"/>
  <c r="C268" i="11" s="1"/>
  <c r="C269" i="11" s="1"/>
  <c r="C270" i="11" s="1"/>
  <c r="C271" i="11" s="1"/>
  <c r="C272" i="11" s="1"/>
  <c r="C273" i="11" s="1"/>
  <c r="C274" i="11" s="1"/>
  <c r="C275" i="11" s="1"/>
  <c r="C276" i="11" s="1"/>
  <c r="C277" i="11" s="1"/>
  <c r="C278" i="11" s="1"/>
  <c r="C279" i="11" s="1"/>
  <c r="C280" i="11" s="1"/>
  <c r="C281" i="11" s="1"/>
  <c r="C282" i="11" s="1"/>
  <c r="C283" i="11" s="1"/>
  <c r="C284" i="11" s="1"/>
  <c r="C285" i="11" s="1"/>
  <c r="C286" i="11" s="1"/>
  <c r="C287" i="11" s="1"/>
  <c r="C288" i="11" s="1"/>
  <c r="C289" i="11" s="1"/>
  <c r="C290" i="11" s="1"/>
  <c r="C291" i="11" s="1"/>
  <c r="C292" i="11" s="1"/>
  <c r="C293" i="11" s="1"/>
  <c r="C87" i="10"/>
  <c r="C88" i="10" s="1"/>
  <c r="A87" i="10"/>
  <c r="A88" i="10" s="1"/>
  <c r="B87" i="10"/>
  <c r="B88" i="10" s="1"/>
  <c r="E537" i="7"/>
  <c r="J537" i="7" s="1"/>
  <c r="F537" i="7"/>
  <c r="J536" i="7" s="1"/>
  <c r="F494" i="7"/>
  <c r="E493" i="7"/>
  <c r="E363" i="7"/>
  <c r="D114" i="7"/>
  <c r="C339" i="9"/>
  <c r="C341" i="9" s="1"/>
  <c r="D331" i="9"/>
  <c r="D332" i="9"/>
  <c r="D333" i="9"/>
  <c r="D334" i="9"/>
  <c r="D335" i="9"/>
  <c r="D330" i="9"/>
  <c r="C331" i="9"/>
  <c r="C332" i="9" s="1"/>
  <c r="C333" i="9" s="1"/>
  <c r="C334" i="9" s="1"/>
  <c r="C335" i="9" s="1"/>
  <c r="C336" i="9" s="1"/>
  <c r="D280" i="9"/>
  <c r="D282" i="9" s="1"/>
  <c r="D275" i="9"/>
  <c r="D274" i="9"/>
  <c r="D273" i="9"/>
  <c r="D272" i="9"/>
  <c r="D271" i="9"/>
  <c r="C272" i="9"/>
  <c r="C273" i="9" s="1"/>
  <c r="C274" i="9" s="1"/>
  <c r="C275" i="9" s="1"/>
  <c r="C276" i="9" s="1"/>
  <c r="E200" i="9"/>
  <c r="B210" i="9" s="1"/>
  <c r="D147" i="9"/>
  <c r="D157" i="9" s="1"/>
  <c r="D164" i="9" s="1"/>
  <c r="E79" i="9"/>
  <c r="C587" i="9"/>
  <c r="C515" i="9"/>
  <c r="C520" i="9" s="1"/>
  <c r="C580" i="9"/>
  <c r="C584" i="9" s="1"/>
  <c r="C545" i="9"/>
  <c r="C544" i="9"/>
  <c r="C543" i="9"/>
  <c r="C542" i="9"/>
  <c r="C541" i="9"/>
  <c r="C524" i="9"/>
  <c r="C523" i="9"/>
  <c r="C522" i="9"/>
  <c r="C521" i="9"/>
  <c r="C501" i="9"/>
  <c r="C498" i="9"/>
  <c r="C497" i="9"/>
  <c r="C496" i="9"/>
  <c r="C495" i="9"/>
  <c r="C494" i="9"/>
  <c r="C460" i="9"/>
  <c r="C461" i="9" s="1"/>
  <c r="C462" i="9" s="1"/>
  <c r="C463" i="9" s="1"/>
  <c r="F89" i="10" l="1"/>
  <c r="F90" i="10" s="1"/>
  <c r="D537" i="7"/>
  <c r="F184" i="9"/>
  <c r="D184" i="9"/>
  <c r="E184" i="9" s="1"/>
  <c r="E186" i="9" s="1"/>
  <c r="F128" i="9"/>
  <c r="D128" i="9"/>
  <c r="E128" i="9" s="1"/>
  <c r="E130" i="9" s="1"/>
  <c r="D40" i="9"/>
  <c r="E40" i="9" s="1"/>
  <c r="F40" i="9"/>
  <c r="G218" i="14"/>
  <c r="D218" i="14"/>
  <c r="E218" i="14" s="1"/>
  <c r="E220" i="14" s="1"/>
  <c r="E165" i="14"/>
  <c r="F165" i="14" s="1"/>
  <c r="H165" i="14"/>
  <c r="H81" i="14"/>
  <c r="D81" i="14"/>
  <c r="F81" i="14" s="1"/>
  <c r="H33" i="14"/>
  <c r="D33" i="14"/>
  <c r="F33" i="14" s="1"/>
  <c r="H420" i="5"/>
  <c r="D420" i="5"/>
  <c r="F420" i="5" s="1"/>
  <c r="C83" i="13"/>
  <c r="E83" i="13" s="1"/>
  <c r="E91" i="13" s="1"/>
  <c r="F126" i="13" s="1"/>
  <c r="F329" i="9"/>
  <c r="D346" i="9" s="1"/>
  <c r="D350" i="9" s="1"/>
  <c r="F271" i="9"/>
  <c r="D287" i="9" s="1"/>
  <c r="D292" i="9" s="1"/>
  <c r="C589" i="9"/>
  <c r="C593" i="9" s="1"/>
  <c r="C549" i="9"/>
  <c r="C553" i="9" s="1"/>
  <c r="C526" i="9"/>
  <c r="C502" i="9"/>
  <c r="B503" i="9" s="1"/>
  <c r="C467" i="9"/>
  <c r="D480" i="9" s="1"/>
  <c r="C537" i="7" l="1"/>
  <c r="D538" i="7" s="1"/>
  <c r="J538" i="7" s="1"/>
  <c r="J541" i="7" s="1"/>
  <c r="F41" i="9"/>
  <c r="D41" i="9"/>
  <c r="E41" i="9" s="1"/>
  <c r="E167" i="14"/>
  <c r="F167" i="14" s="1"/>
  <c r="H167" i="14"/>
  <c r="H82" i="14"/>
  <c r="D82" i="14"/>
  <c r="F82" i="14" s="1"/>
  <c r="H34" i="14"/>
  <c r="D34" i="14"/>
  <c r="F34" i="14" s="1"/>
  <c r="H421" i="5"/>
  <c r="D421" i="5"/>
  <c r="F421" i="5" s="1"/>
  <c r="E94" i="13"/>
  <c r="F128" i="13" s="1"/>
  <c r="F136" i="13" s="1"/>
  <c r="F100" i="13"/>
  <c r="D191" i="6"/>
  <c r="D190" i="6" s="1"/>
  <c r="B589" i="6"/>
  <c r="D589" i="6" s="1"/>
  <c r="D590" i="6" s="1"/>
  <c r="D23" i="6"/>
  <c r="D25" i="6" s="1"/>
  <c r="H23" i="6"/>
  <c r="H25" i="6" s="1"/>
  <c r="H27" i="6" s="1"/>
  <c r="H29" i="6" s="1"/>
  <c r="H31" i="6" s="1"/>
  <c r="E37" i="6"/>
  <c r="E33" i="6"/>
  <c r="C25" i="6"/>
  <c r="C27" i="6" s="1"/>
  <c r="C29" i="6" s="1"/>
  <c r="C31" i="6" s="1"/>
  <c r="C33" i="6" s="1"/>
  <c r="C35" i="6" s="1"/>
  <c r="C37" i="6" s="1"/>
  <c r="B510" i="6"/>
  <c r="D510" i="6" s="1"/>
  <c r="F510" i="6"/>
  <c r="F511" i="6" s="1"/>
  <c r="B527" i="6"/>
  <c r="C530" i="6" s="1"/>
  <c r="D554" i="6"/>
  <c r="D555" i="6"/>
  <c r="C565" i="6"/>
  <c r="C568" i="6" s="1"/>
  <c r="B456" i="6"/>
  <c r="D456" i="6" s="1"/>
  <c r="F456" i="6"/>
  <c r="F457" i="6" s="1"/>
  <c r="F458" i="6" s="1"/>
  <c r="B473" i="6"/>
  <c r="D473" i="6" s="1"/>
  <c r="F473" i="6"/>
  <c r="F475" i="6" s="1"/>
  <c r="F477" i="6" s="1"/>
  <c r="F479" i="6" s="1"/>
  <c r="B475" i="6"/>
  <c r="D475" i="6" s="1"/>
  <c r="B477" i="6"/>
  <c r="D477" i="6" s="1"/>
  <c r="B479" i="6"/>
  <c r="D479" i="6" s="1"/>
  <c r="C204" i="6"/>
  <c r="E550" i="14"/>
  <c r="E554" i="14"/>
  <c r="E558" i="14"/>
  <c r="E562" i="14"/>
  <c r="E566" i="14"/>
  <c r="D535" i="14"/>
  <c r="F535" i="14" s="1"/>
  <c r="C543" i="14"/>
  <c r="C544" i="14" s="1"/>
  <c r="C545" i="14" s="1"/>
  <c r="C546" i="14" s="1"/>
  <c r="C547" i="14" s="1"/>
  <c r="C548" i="14" s="1"/>
  <c r="C549" i="14" s="1"/>
  <c r="C550" i="14" s="1"/>
  <c r="C551" i="14" s="1"/>
  <c r="C552" i="14" s="1"/>
  <c r="C553" i="14" s="1"/>
  <c r="C554" i="14" s="1"/>
  <c r="C555" i="14" s="1"/>
  <c r="C556" i="14" s="1"/>
  <c r="C557" i="14" s="1"/>
  <c r="C558" i="14" s="1"/>
  <c r="C559" i="14" s="1"/>
  <c r="C560" i="14" s="1"/>
  <c r="C561" i="14" s="1"/>
  <c r="C562" i="14" s="1"/>
  <c r="C563" i="14" s="1"/>
  <c r="C564" i="14" s="1"/>
  <c r="C565" i="14" s="1"/>
  <c r="C566" i="14" s="1"/>
  <c r="H535" i="14"/>
  <c r="H536" i="14" s="1"/>
  <c r="D537" i="14" s="1"/>
  <c r="E515" i="14"/>
  <c r="E517" i="14"/>
  <c r="E519" i="14"/>
  <c r="E521" i="14"/>
  <c r="D502" i="14"/>
  <c r="F502" i="14" s="1"/>
  <c r="C510" i="14"/>
  <c r="C511" i="14" s="1"/>
  <c r="C512" i="14" s="1"/>
  <c r="C513" i="14" s="1"/>
  <c r="C514" i="14" s="1"/>
  <c r="C515" i="14" s="1"/>
  <c r="C516" i="14" s="1"/>
  <c r="C517" i="14" s="1"/>
  <c r="C518" i="14" s="1"/>
  <c r="C519" i="14" s="1"/>
  <c r="C520" i="14" s="1"/>
  <c r="C521" i="14" s="1"/>
  <c r="H502" i="14"/>
  <c r="H503" i="14" s="1"/>
  <c r="D504" i="14" s="1"/>
  <c r="E490" i="14"/>
  <c r="E489" i="14"/>
  <c r="E488" i="14"/>
  <c r="E487" i="14"/>
  <c r="E486" i="14"/>
  <c r="E485" i="14"/>
  <c r="E484" i="14"/>
  <c r="E483" i="14"/>
  <c r="H483" i="14" s="1"/>
  <c r="D483" i="14"/>
  <c r="D460" i="14"/>
  <c r="E460" i="14"/>
  <c r="F463" i="14"/>
  <c r="F460" i="14" s="1"/>
  <c r="F447" i="14"/>
  <c r="F448" i="14" s="1"/>
  <c r="F449" i="14" s="1"/>
  <c r="F450" i="14" s="1"/>
  <c r="F451" i="14" s="1"/>
  <c r="F452" i="14" s="1"/>
  <c r="F453" i="14" s="1"/>
  <c r="E447" i="14"/>
  <c r="E448" i="14" s="1"/>
  <c r="E449" i="14" s="1"/>
  <c r="E450" i="14" s="1"/>
  <c r="E451" i="14" s="1"/>
  <c r="E452" i="14" s="1"/>
  <c r="E453" i="14" s="1"/>
  <c r="D447" i="14"/>
  <c r="D448" i="14" s="1"/>
  <c r="D449" i="14" s="1"/>
  <c r="D450" i="14" s="1"/>
  <c r="D451" i="14" s="1"/>
  <c r="D452" i="14" s="1"/>
  <c r="D453" i="14" s="1"/>
  <c r="C447" i="14"/>
  <c r="C448" i="14" s="1"/>
  <c r="C449" i="14" s="1"/>
  <c r="C450" i="14" s="1"/>
  <c r="C451" i="14" s="1"/>
  <c r="C452" i="14" s="1"/>
  <c r="C453" i="14" s="1"/>
  <c r="C454" i="14" s="1"/>
  <c r="D393" i="14"/>
  <c r="D391" i="14"/>
  <c r="D390" i="14"/>
  <c r="C296" i="14"/>
  <c r="C284" i="14"/>
  <c r="C285" i="14" s="1"/>
  <c r="C286" i="14" s="1"/>
  <c r="C287" i="14" s="1"/>
  <c r="C288" i="14" s="1"/>
  <c r="C289" i="14" s="1"/>
  <c r="C290" i="14" s="1"/>
  <c r="C291" i="14" s="1"/>
  <c r="C292" i="14" s="1"/>
  <c r="C293" i="14" s="1"/>
  <c r="A283" i="14"/>
  <c r="A284" i="14" s="1"/>
  <c r="A285" i="14" s="1"/>
  <c r="A286" i="14" s="1"/>
  <c r="A287" i="14" s="1"/>
  <c r="A288" i="14" s="1"/>
  <c r="A289" i="14" s="1"/>
  <c r="A290" i="14" s="1"/>
  <c r="A291" i="14" s="1"/>
  <c r="A292" i="14" s="1"/>
  <c r="A293" i="14" s="1"/>
  <c r="A294" i="14" s="1"/>
  <c r="E512" i="4"/>
  <c r="F42" i="9" l="1"/>
  <c r="D42" i="9"/>
  <c r="E42" i="9" s="1"/>
  <c r="H169" i="14"/>
  <c r="E169" i="14"/>
  <c r="F169" i="14" s="1"/>
  <c r="H83" i="14"/>
  <c r="D83" i="14"/>
  <c r="F83" i="14" s="1"/>
  <c r="H35" i="14"/>
  <c r="D35" i="14"/>
  <c r="F35" i="14" s="1"/>
  <c r="D392" i="14"/>
  <c r="D415" i="14" s="1"/>
  <c r="D421" i="14" s="1"/>
  <c r="D427" i="14" s="1"/>
  <c r="D536" i="14"/>
  <c r="F536" i="14" s="1"/>
  <c r="H422" i="5"/>
  <c r="D422" i="5"/>
  <c r="F422" i="5" s="1"/>
  <c r="F23" i="6"/>
  <c r="F25" i="6"/>
  <c r="D27" i="6"/>
  <c r="H33" i="6"/>
  <c r="B511" i="6"/>
  <c r="D511" i="6" s="1"/>
  <c r="D556" i="6"/>
  <c r="F512" i="6"/>
  <c r="B512" i="6"/>
  <c r="D512" i="6" s="1"/>
  <c r="B457" i="6"/>
  <c r="D457" i="6" s="1"/>
  <c r="B459" i="6"/>
  <c r="D459" i="6" s="1"/>
  <c r="F459" i="6"/>
  <c r="B481" i="6"/>
  <c r="D481" i="6" s="1"/>
  <c r="F481" i="6"/>
  <c r="B458" i="6"/>
  <c r="D458" i="6" s="1"/>
  <c r="F483" i="14"/>
  <c r="H537" i="14"/>
  <c r="D538" i="14" s="1"/>
  <c r="F537" i="14"/>
  <c r="H484" i="14"/>
  <c r="H485" i="14" s="1"/>
  <c r="D503" i="14"/>
  <c r="F503" i="14" s="1"/>
  <c r="H504" i="14"/>
  <c r="D505" i="14" s="1"/>
  <c r="F504" i="14"/>
  <c r="D484" i="14"/>
  <c r="F484" i="14" s="1"/>
  <c r="D456" i="14"/>
  <c r="E456" i="14"/>
  <c r="F456" i="14"/>
  <c r="C298" i="14"/>
  <c r="F43" i="9" l="1"/>
  <c r="D43" i="9"/>
  <c r="E43" i="9" s="1"/>
  <c r="E46" i="9" s="1"/>
  <c r="C63" i="9" s="1"/>
  <c r="D84" i="9" s="1"/>
  <c r="H171" i="14"/>
  <c r="E171" i="14"/>
  <c r="F171" i="14" s="1"/>
  <c r="H84" i="14"/>
  <c r="D84" i="14"/>
  <c r="F84" i="14" s="1"/>
  <c r="H36" i="14"/>
  <c r="D36" i="14"/>
  <c r="F36" i="14" s="1"/>
  <c r="D423" i="5"/>
  <c r="F423" i="5" s="1"/>
  <c r="H423" i="5"/>
  <c r="H35" i="6"/>
  <c r="D35" i="6"/>
  <c r="D29" i="6"/>
  <c r="F27" i="6"/>
  <c r="B513" i="6"/>
  <c r="D513" i="6" s="1"/>
  <c r="F513" i="6"/>
  <c r="B483" i="6"/>
  <c r="D483" i="6" s="1"/>
  <c r="F483" i="6"/>
  <c r="F460" i="6"/>
  <c r="B460" i="6"/>
  <c r="D460" i="6" s="1"/>
  <c r="D485" i="14"/>
  <c r="F485" i="14" s="1"/>
  <c r="H538" i="14"/>
  <c r="D539" i="14" s="1"/>
  <c r="F538" i="14"/>
  <c r="H505" i="14"/>
  <c r="D506" i="14" s="1"/>
  <c r="F505" i="14"/>
  <c r="H486" i="14"/>
  <c r="D486" i="14"/>
  <c r="F486" i="14" s="1"/>
  <c r="F612" i="5"/>
  <c r="E602" i="5"/>
  <c r="E606" i="5" s="1"/>
  <c r="E610" i="5" s="1"/>
  <c r="H599" i="5"/>
  <c r="D600" i="5" s="1"/>
  <c r="F600" i="5" s="1"/>
  <c r="D599" i="5"/>
  <c r="F599" i="5" s="1"/>
  <c r="F588" i="5"/>
  <c r="E578" i="5"/>
  <c r="E582" i="5" s="1"/>
  <c r="E586" i="5" s="1"/>
  <c r="H575" i="5"/>
  <c r="D576" i="5" s="1"/>
  <c r="F576" i="5" s="1"/>
  <c r="D575" i="5"/>
  <c r="F575" i="5" s="1"/>
  <c r="F562" i="5"/>
  <c r="E552" i="5"/>
  <c r="E556" i="5" s="1"/>
  <c r="E560" i="5" s="1"/>
  <c r="H548" i="5"/>
  <c r="D549" i="5" s="1"/>
  <c r="F549" i="5" s="1"/>
  <c r="D548" i="5"/>
  <c r="F548" i="5" s="1"/>
  <c r="F541" i="5"/>
  <c r="E530" i="5"/>
  <c r="E534" i="5" s="1"/>
  <c r="E538" i="5" s="1"/>
  <c r="D527" i="5"/>
  <c r="F527" i="5" s="1"/>
  <c r="H527" i="5"/>
  <c r="H528" i="5" s="1"/>
  <c r="D529" i="5" s="1"/>
  <c r="D317" i="14"/>
  <c r="D319" i="14" s="1"/>
  <c r="D324" i="14" s="1"/>
  <c r="D264" i="14"/>
  <c r="D267" i="14" s="1"/>
  <c r="D263" i="5"/>
  <c r="D261" i="5"/>
  <c r="D259" i="5"/>
  <c r="D257" i="5"/>
  <c r="B257" i="5"/>
  <c r="B258" i="5" s="1"/>
  <c r="B259" i="5" s="1"/>
  <c r="B260" i="5" s="1"/>
  <c r="B261" i="5" s="1"/>
  <c r="B262" i="5" s="1"/>
  <c r="B263" i="5" s="1"/>
  <c r="G256" i="5"/>
  <c r="C257" i="5" s="1"/>
  <c r="C256" i="5"/>
  <c r="E256" i="5" s="1"/>
  <c r="D248" i="5"/>
  <c r="D246" i="5"/>
  <c r="D244" i="5"/>
  <c r="D242" i="5"/>
  <c r="B242" i="5"/>
  <c r="B243" i="5" s="1"/>
  <c r="B244" i="5" s="1"/>
  <c r="B245" i="5" s="1"/>
  <c r="B246" i="5" s="1"/>
  <c r="B247" i="5" s="1"/>
  <c r="B248" i="5" s="1"/>
  <c r="G241" i="5"/>
  <c r="C242" i="5" s="1"/>
  <c r="C241" i="5"/>
  <c r="E241" i="5" s="1"/>
  <c r="D231" i="5"/>
  <c r="D229" i="5"/>
  <c r="D227" i="5"/>
  <c r="D225" i="5"/>
  <c r="B225" i="5"/>
  <c r="B226" i="5" s="1"/>
  <c r="B227" i="5" s="1"/>
  <c r="B228" i="5" s="1"/>
  <c r="B229" i="5" s="1"/>
  <c r="B230" i="5" s="1"/>
  <c r="B231" i="5" s="1"/>
  <c r="G223" i="5"/>
  <c r="C225" i="5" s="1"/>
  <c r="C223" i="5"/>
  <c r="E223" i="5" s="1"/>
  <c r="C206" i="5"/>
  <c r="E206" i="5" s="1"/>
  <c r="G206" i="5"/>
  <c r="C207" i="5" s="1"/>
  <c r="D213" i="5"/>
  <c r="D211" i="5"/>
  <c r="D209" i="5"/>
  <c r="D207" i="5"/>
  <c r="B207" i="5"/>
  <c r="B208" i="5" s="1"/>
  <c r="B209" i="5" s="1"/>
  <c r="B210" i="5" s="1"/>
  <c r="B211" i="5" s="1"/>
  <c r="B212" i="5" s="1"/>
  <c r="B213" i="5" s="1"/>
  <c r="E176" i="5"/>
  <c r="E174" i="5"/>
  <c r="H173" i="5"/>
  <c r="D173" i="5"/>
  <c r="F173" i="5" s="1"/>
  <c r="E150" i="5"/>
  <c r="E148" i="5"/>
  <c r="H147" i="5"/>
  <c r="D147" i="5"/>
  <c r="F147" i="5" s="1"/>
  <c r="E119" i="5"/>
  <c r="E117" i="5"/>
  <c r="H115" i="5"/>
  <c r="D117" i="5" s="1"/>
  <c r="D115" i="5"/>
  <c r="F115" i="5" s="1"/>
  <c r="F500" i="4"/>
  <c r="E482" i="4"/>
  <c r="D470" i="4"/>
  <c r="E470" i="4" s="1"/>
  <c r="F470" i="4"/>
  <c r="F471" i="4" s="1"/>
  <c r="D472" i="4" s="1"/>
  <c r="E472" i="4" s="1"/>
  <c r="F395" i="4"/>
  <c r="F396" i="4" s="1"/>
  <c r="D395" i="4"/>
  <c r="E395" i="4" s="1"/>
  <c r="C405" i="4"/>
  <c r="C403" i="4"/>
  <c r="C401" i="4"/>
  <c r="C399" i="4"/>
  <c r="C369" i="4"/>
  <c r="C370" i="4"/>
  <c r="C371" i="4"/>
  <c r="D257" i="4"/>
  <c r="E352" i="4"/>
  <c r="G352" i="4"/>
  <c r="G353" i="4" s="1"/>
  <c r="D354" i="4" s="1"/>
  <c r="E354" i="4" s="1"/>
  <c r="A352" i="4"/>
  <c r="A353" i="4" s="1"/>
  <c r="A354" i="4" s="1"/>
  <c r="A355" i="4" s="1"/>
  <c r="A356" i="4" s="1"/>
  <c r="A357" i="4" s="1"/>
  <c r="A358" i="4" s="1"/>
  <c r="A359" i="4" s="1"/>
  <c r="A360" i="4" s="1"/>
  <c r="A361" i="4" s="1"/>
  <c r="A362" i="4" s="1"/>
  <c r="A363" i="4" s="1"/>
  <c r="A364" i="4" s="1"/>
  <c r="A365" i="4" s="1"/>
  <c r="A366" i="4" s="1"/>
  <c r="A367" i="4" s="1"/>
  <c r="A368" i="4" s="1"/>
  <c r="A369" i="4" s="1"/>
  <c r="A370" i="4" s="1"/>
  <c r="A371" i="4" s="1"/>
  <c r="E193" i="4"/>
  <c r="G193" i="4"/>
  <c r="G194" i="4" s="1"/>
  <c r="D195" i="4" s="1"/>
  <c r="B168" i="4"/>
  <c r="B169" i="4" s="1"/>
  <c r="B170" i="4" s="1"/>
  <c r="B171" i="4" s="1"/>
  <c r="D143" i="4"/>
  <c r="E71" i="4"/>
  <c r="E36" i="4"/>
  <c r="E41" i="4"/>
  <c r="H173" i="14" l="1"/>
  <c r="E173" i="14"/>
  <c r="F173" i="14" s="1"/>
  <c r="H85" i="14"/>
  <c r="D85" i="14"/>
  <c r="F85" i="14" s="1"/>
  <c r="H37" i="14"/>
  <c r="D37" i="14"/>
  <c r="F37" i="14" s="1"/>
  <c r="H424" i="5"/>
  <c r="D424" i="5"/>
  <c r="F424" i="5" s="1"/>
  <c r="F426" i="5" s="1"/>
  <c r="D471" i="4"/>
  <c r="E471" i="4" s="1"/>
  <c r="F472" i="4"/>
  <c r="D258" i="4"/>
  <c r="D259" i="4" s="1"/>
  <c r="F501" i="4"/>
  <c r="D502" i="4" s="1"/>
  <c r="E502" i="4" s="1"/>
  <c r="D501" i="4"/>
  <c r="E501" i="4" s="1"/>
  <c r="D396" i="4"/>
  <c r="E396" i="4" s="1"/>
  <c r="H37" i="6"/>
  <c r="D37" i="6"/>
  <c r="D31" i="6"/>
  <c r="F29" i="6"/>
  <c r="B514" i="6"/>
  <c r="D514" i="6" s="1"/>
  <c r="F514" i="6"/>
  <c r="F461" i="6"/>
  <c r="B461" i="6"/>
  <c r="D461" i="6" s="1"/>
  <c r="B485" i="6"/>
  <c r="D485" i="6" s="1"/>
  <c r="F485" i="6"/>
  <c r="F539" i="14"/>
  <c r="H539" i="14"/>
  <c r="D540" i="14" s="1"/>
  <c r="H506" i="14"/>
  <c r="D507" i="14" s="1"/>
  <c r="F506" i="14"/>
  <c r="H487" i="14"/>
  <c r="D487" i="14"/>
  <c r="F487" i="14" s="1"/>
  <c r="D528" i="5"/>
  <c r="F528" i="5" s="1"/>
  <c r="H600" i="5"/>
  <c r="H576" i="5"/>
  <c r="H549" i="5"/>
  <c r="F529" i="5"/>
  <c r="H529" i="5"/>
  <c r="D530" i="5" s="1"/>
  <c r="E225" i="5"/>
  <c r="E242" i="5"/>
  <c r="E257" i="5"/>
  <c r="G257" i="5"/>
  <c r="C258" i="5" s="1"/>
  <c r="E258" i="5" s="1"/>
  <c r="G242" i="5"/>
  <c r="C243" i="5" s="1"/>
  <c r="E243" i="5" s="1"/>
  <c r="G225" i="5"/>
  <c r="C226" i="5" s="1"/>
  <c r="E226" i="5" s="1"/>
  <c r="E207" i="5"/>
  <c r="G207" i="5"/>
  <c r="H174" i="5"/>
  <c r="D175" i="5" s="1"/>
  <c r="F175" i="5" s="1"/>
  <c r="D174" i="5"/>
  <c r="F174" i="5" s="1"/>
  <c r="H148" i="5"/>
  <c r="H149" i="5" s="1"/>
  <c r="D148" i="5"/>
  <c r="F148" i="5" s="1"/>
  <c r="F117" i="5"/>
  <c r="H117" i="5"/>
  <c r="D118" i="5" s="1"/>
  <c r="F118" i="5" s="1"/>
  <c r="F397" i="4"/>
  <c r="D397" i="4"/>
  <c r="E397" i="4" s="1"/>
  <c r="D353" i="4"/>
  <c r="E353" i="4" s="1"/>
  <c r="G354" i="4"/>
  <c r="D355" i="4" s="1"/>
  <c r="E355" i="4" s="1"/>
  <c r="F263" i="4"/>
  <c r="D194" i="4"/>
  <c r="E194" i="4" s="1"/>
  <c r="E195" i="4"/>
  <c r="G195" i="4"/>
  <c r="D196" i="4" s="1"/>
  <c r="D775" i="11"/>
  <c r="D776" i="11"/>
  <c r="D777" i="11"/>
  <c r="D774" i="11"/>
  <c r="B767" i="11"/>
  <c r="C778" i="11" s="1"/>
  <c r="D778" i="11" s="1"/>
  <c r="C743" i="11"/>
  <c r="A703" i="11"/>
  <c r="H175" i="14" l="1"/>
  <c r="E175" i="14"/>
  <c r="F175" i="14" s="1"/>
  <c r="H86" i="14"/>
  <c r="D86" i="14"/>
  <c r="F86" i="14" s="1"/>
  <c r="H38" i="14"/>
  <c r="D38" i="14"/>
  <c r="F38" i="14" s="1"/>
  <c r="F262" i="4"/>
  <c r="F264" i="4"/>
  <c r="F502" i="4"/>
  <c r="D473" i="4"/>
  <c r="E473" i="4" s="1"/>
  <c r="F473" i="4"/>
  <c r="D33" i="6"/>
  <c r="F31" i="6"/>
  <c r="F515" i="6"/>
  <c r="B515" i="6"/>
  <c r="D515" i="6" s="1"/>
  <c r="D520" i="6" s="1"/>
  <c r="C532" i="6" s="1"/>
  <c r="C533" i="6" s="1"/>
  <c r="B487" i="6"/>
  <c r="D487" i="6" s="1"/>
  <c r="F487" i="6"/>
  <c r="F462" i="6"/>
  <c r="B462" i="6"/>
  <c r="D462" i="6" s="1"/>
  <c r="H540" i="14"/>
  <c r="D541" i="14" s="1"/>
  <c r="H507" i="14"/>
  <c r="D508" i="14" s="1"/>
  <c r="F507" i="14"/>
  <c r="H488" i="14"/>
  <c r="D488" i="14"/>
  <c r="F488" i="14" s="1"/>
  <c r="D601" i="5"/>
  <c r="F601" i="5" s="1"/>
  <c r="H601" i="5"/>
  <c r="D577" i="5"/>
  <c r="F577" i="5" s="1"/>
  <c r="H577" i="5"/>
  <c r="D551" i="5"/>
  <c r="F551" i="5" s="1"/>
  <c r="H551" i="5"/>
  <c r="H530" i="5"/>
  <c r="D531" i="5" s="1"/>
  <c r="F530" i="5"/>
  <c r="H175" i="5"/>
  <c r="D176" i="5" s="1"/>
  <c r="F176" i="5" s="1"/>
  <c r="G258" i="5"/>
  <c r="G259" i="5" s="1"/>
  <c r="G243" i="5"/>
  <c r="G244" i="5" s="1"/>
  <c r="G226" i="5"/>
  <c r="G227" i="5" s="1"/>
  <c r="C227" i="5"/>
  <c r="E227" i="5" s="1"/>
  <c r="C208" i="5"/>
  <c r="E208" i="5" s="1"/>
  <c r="G208" i="5"/>
  <c r="H176" i="5"/>
  <c r="H118" i="5"/>
  <c r="H119" i="5" s="1"/>
  <c r="D149" i="5"/>
  <c r="F149" i="5" s="1"/>
  <c r="H150" i="5"/>
  <c r="D150" i="5"/>
  <c r="F150" i="5" s="1"/>
  <c r="F503" i="4"/>
  <c r="D503" i="4"/>
  <c r="E503" i="4" s="1"/>
  <c r="D398" i="4"/>
  <c r="E398" i="4" s="1"/>
  <c r="F398" i="4"/>
  <c r="G355" i="4"/>
  <c r="D356" i="4" s="1"/>
  <c r="E356" i="4" s="1"/>
  <c r="G196" i="4"/>
  <c r="E196" i="4"/>
  <c r="E199" i="4" s="1"/>
  <c r="D781" i="11"/>
  <c r="E165" i="11"/>
  <c r="E164" i="11"/>
  <c r="C166" i="11"/>
  <c r="C167" i="11" s="1"/>
  <c r="C168" i="11" s="1"/>
  <c r="C169" i="11" s="1"/>
  <c r="C154" i="11"/>
  <c r="C113" i="11"/>
  <c r="F659" i="11"/>
  <c r="E656" i="11" s="1"/>
  <c r="E618" i="11"/>
  <c r="E581" i="11"/>
  <c r="E578" i="11"/>
  <c r="F246" i="11"/>
  <c r="C235" i="11"/>
  <c r="C238" i="11" s="1"/>
  <c r="C1161" i="11"/>
  <c r="D1163" i="11" s="1"/>
  <c r="D1105" i="11"/>
  <c r="D1113" i="11" s="1"/>
  <c r="D1051" i="11"/>
  <c r="D1052" i="11" s="1"/>
  <c r="C1048" i="11"/>
  <c r="C1049" i="11" s="1"/>
  <c r="C1050" i="11" s="1"/>
  <c r="C1051" i="11" s="1"/>
  <c r="C1052" i="11" s="1"/>
  <c r="C1053" i="11" s="1"/>
  <c r="C1054" i="11" s="1"/>
  <c r="C1055" i="11" s="1"/>
  <c r="C1056" i="11" s="1"/>
  <c r="C932" i="11"/>
  <c r="C909" i="11"/>
  <c r="D859" i="11"/>
  <c r="G1167" i="11"/>
  <c r="F1058" i="11"/>
  <c r="H865" i="11"/>
  <c r="H177" i="14" l="1"/>
  <c r="E177" i="14"/>
  <c r="F177" i="14" s="1"/>
  <c r="H87" i="14"/>
  <c r="D87" i="14"/>
  <c r="F87" i="14" s="1"/>
  <c r="H39" i="14"/>
  <c r="D39" i="14"/>
  <c r="F39" i="14" s="1"/>
  <c r="G356" i="4"/>
  <c r="F474" i="4"/>
  <c r="D474" i="4"/>
  <c r="E474" i="4" s="1"/>
  <c r="D295" i="11"/>
  <c r="D297" i="11" s="1"/>
  <c r="I262" i="11"/>
  <c r="I265" i="11" s="1"/>
  <c r="L268" i="11" s="1"/>
  <c r="L270" i="11" s="1"/>
  <c r="F33" i="6"/>
  <c r="B463" i="6"/>
  <c r="D463" i="6" s="1"/>
  <c r="F463" i="6"/>
  <c r="F489" i="6"/>
  <c r="B489" i="6"/>
  <c r="D489" i="6" s="1"/>
  <c r="H541" i="14"/>
  <c r="D542" i="14" s="1"/>
  <c r="F541" i="14"/>
  <c r="H508" i="14"/>
  <c r="D509" i="14" s="1"/>
  <c r="F508" i="14"/>
  <c r="D489" i="14"/>
  <c r="F489" i="14" s="1"/>
  <c r="H489" i="14"/>
  <c r="H602" i="5"/>
  <c r="D602" i="5"/>
  <c r="F602" i="5" s="1"/>
  <c r="H578" i="5"/>
  <c r="D578" i="5"/>
  <c r="F578" i="5" s="1"/>
  <c r="D552" i="5"/>
  <c r="F552" i="5" s="1"/>
  <c r="H552" i="5"/>
  <c r="H531" i="5"/>
  <c r="D532" i="5" s="1"/>
  <c r="F531" i="5"/>
  <c r="C259" i="5"/>
  <c r="E259" i="5" s="1"/>
  <c r="C245" i="5"/>
  <c r="E245" i="5" s="1"/>
  <c r="G245" i="5"/>
  <c r="C244" i="5"/>
  <c r="E244" i="5" s="1"/>
  <c r="C260" i="5"/>
  <c r="E260" i="5" s="1"/>
  <c r="G260" i="5"/>
  <c r="C228" i="5"/>
  <c r="E228" i="5" s="1"/>
  <c r="G228" i="5"/>
  <c r="D119" i="5"/>
  <c r="F119" i="5" s="1"/>
  <c r="C209" i="5"/>
  <c r="E209" i="5" s="1"/>
  <c r="G209" i="5"/>
  <c r="D177" i="5"/>
  <c r="F177" i="5" s="1"/>
  <c r="H177" i="5"/>
  <c r="D151" i="5"/>
  <c r="F151" i="5" s="1"/>
  <c r="H151" i="5"/>
  <c r="D120" i="5"/>
  <c r="F120" i="5" s="1"/>
  <c r="H120" i="5"/>
  <c r="D504" i="4"/>
  <c r="E504" i="4" s="1"/>
  <c r="F504" i="4"/>
  <c r="F399" i="4"/>
  <c r="D399" i="4"/>
  <c r="E399" i="4" s="1"/>
  <c r="D357" i="4"/>
  <c r="E357" i="4" s="1"/>
  <c r="G357" i="4"/>
  <c r="E169" i="11"/>
  <c r="E167" i="11"/>
  <c r="E168" i="11"/>
  <c r="E166" i="11"/>
  <c r="D1053" i="11"/>
  <c r="D1054" i="11" s="1"/>
  <c r="D1055" i="11" s="1"/>
  <c r="D1056" i="11" s="1"/>
  <c r="D1165" i="11"/>
  <c r="D1167" i="11" s="1"/>
  <c r="D860" i="11"/>
  <c r="D861" i="11" s="1"/>
  <c r="H179" i="14" l="1"/>
  <c r="E179" i="14"/>
  <c r="F179" i="14" s="1"/>
  <c r="H88" i="14"/>
  <c r="D88" i="14"/>
  <c r="F88" i="14" s="1"/>
  <c r="H40" i="14"/>
  <c r="D40" i="14"/>
  <c r="F40" i="14" s="1"/>
  <c r="F475" i="4"/>
  <c r="D475" i="4"/>
  <c r="E475" i="4" s="1"/>
  <c r="E177" i="11"/>
  <c r="F37" i="6"/>
  <c r="F35" i="6"/>
  <c r="B491" i="6"/>
  <c r="D491" i="6" s="1"/>
  <c r="D493" i="6" s="1"/>
  <c r="D495" i="6" s="1"/>
  <c r="F491" i="6"/>
  <c r="B464" i="6"/>
  <c r="D464" i="6" s="1"/>
  <c r="F464" i="6"/>
  <c r="F542" i="14"/>
  <c r="H542" i="14"/>
  <c r="D543" i="14" s="1"/>
  <c r="H509" i="14"/>
  <c r="F509" i="14"/>
  <c r="D490" i="14"/>
  <c r="F490" i="14" s="1"/>
  <c r="F492" i="14" s="1"/>
  <c r="F493" i="14" s="1"/>
  <c r="H490" i="14"/>
  <c r="H603" i="5"/>
  <c r="D603" i="5"/>
  <c r="F603" i="5" s="1"/>
  <c r="D579" i="5"/>
  <c r="F579" i="5" s="1"/>
  <c r="H579" i="5"/>
  <c r="D553" i="5"/>
  <c r="F553" i="5" s="1"/>
  <c r="H553" i="5"/>
  <c r="H532" i="5"/>
  <c r="D533" i="5" s="1"/>
  <c r="F532" i="5"/>
  <c r="C246" i="5"/>
  <c r="E246" i="5" s="1"/>
  <c r="G246" i="5"/>
  <c r="G261" i="5"/>
  <c r="C261" i="5"/>
  <c r="E261" i="5" s="1"/>
  <c r="G229" i="5"/>
  <c r="C229" i="5"/>
  <c r="E229" i="5" s="1"/>
  <c r="G210" i="5"/>
  <c r="C210" i="5"/>
  <c r="E210" i="5" s="1"/>
  <c r="H178" i="5"/>
  <c r="D178" i="5"/>
  <c r="F178" i="5" s="1"/>
  <c r="H152" i="5"/>
  <c r="D152" i="5"/>
  <c r="F152" i="5" s="1"/>
  <c r="D121" i="5"/>
  <c r="F121" i="5" s="1"/>
  <c r="H121" i="5"/>
  <c r="F505" i="4"/>
  <c r="D505" i="4"/>
  <c r="E505" i="4" s="1"/>
  <c r="F400" i="4"/>
  <c r="D400" i="4"/>
  <c r="E400" i="4" s="1"/>
  <c r="D358" i="4"/>
  <c r="E358" i="4" s="1"/>
  <c r="G358" i="4"/>
  <c r="D1058" i="11"/>
  <c r="D865" i="11"/>
  <c r="H181" i="14" l="1"/>
  <c r="E181" i="14"/>
  <c r="F181" i="14" s="1"/>
  <c r="H89" i="14"/>
  <c r="D89" i="14"/>
  <c r="F89" i="14" s="1"/>
  <c r="H41" i="14"/>
  <c r="D41" i="14"/>
  <c r="F41" i="14" s="1"/>
  <c r="F476" i="4"/>
  <c r="D476" i="4"/>
  <c r="E476" i="4" s="1"/>
  <c r="F39" i="6"/>
  <c r="F40" i="6" s="1"/>
  <c r="F465" i="6"/>
  <c r="B465" i="6"/>
  <c r="D465" i="6" s="1"/>
  <c r="H543" i="14"/>
  <c r="D544" i="14" s="1"/>
  <c r="F543" i="14"/>
  <c r="D510" i="14"/>
  <c r="F510" i="14" s="1"/>
  <c r="H510" i="14"/>
  <c r="H604" i="5"/>
  <c r="D604" i="5"/>
  <c r="F604" i="5" s="1"/>
  <c r="H580" i="5"/>
  <c r="D580" i="5"/>
  <c r="F580" i="5" s="1"/>
  <c r="D554" i="5"/>
  <c r="F554" i="5" s="1"/>
  <c r="H554" i="5"/>
  <c r="H533" i="5"/>
  <c r="D534" i="5" s="1"/>
  <c r="F533" i="5"/>
  <c r="C247" i="5"/>
  <c r="E247" i="5" s="1"/>
  <c r="G247" i="5"/>
  <c r="G262" i="5"/>
  <c r="C262" i="5"/>
  <c r="E262" i="5" s="1"/>
  <c r="C230" i="5"/>
  <c r="E230" i="5" s="1"/>
  <c r="G230" i="5"/>
  <c r="G211" i="5"/>
  <c r="C211" i="5"/>
  <c r="E211" i="5" s="1"/>
  <c r="H179" i="5"/>
  <c r="D179" i="5"/>
  <c r="F179" i="5" s="1"/>
  <c r="H153" i="5"/>
  <c r="D153" i="5"/>
  <c r="F153" i="5" s="1"/>
  <c r="H122" i="5"/>
  <c r="D122" i="5"/>
  <c r="F122" i="5" s="1"/>
  <c r="F506" i="4"/>
  <c r="D506" i="4"/>
  <c r="E506" i="4" s="1"/>
  <c r="F401" i="4"/>
  <c r="D401" i="4"/>
  <c r="E401" i="4" s="1"/>
  <c r="D359" i="4"/>
  <c r="E359" i="4" s="1"/>
  <c r="G359" i="4"/>
  <c r="C235" i="10"/>
  <c r="F146" i="10"/>
  <c r="F147" i="10" s="1"/>
  <c r="F148" i="10" s="1"/>
  <c r="H183" i="14" l="1"/>
  <c r="E183" i="14"/>
  <c r="F183" i="14" s="1"/>
  <c r="F185" i="14" s="1"/>
  <c r="F187" i="14" s="1"/>
  <c r="H90" i="14"/>
  <c r="D90" i="14"/>
  <c r="F90" i="14" s="1"/>
  <c r="H42" i="14"/>
  <c r="D42" i="14"/>
  <c r="F42" i="14" s="1"/>
  <c r="F477" i="4"/>
  <c r="D477" i="4"/>
  <c r="E477" i="4" s="1"/>
  <c r="F149" i="10"/>
  <c r="F150" i="10" s="1"/>
  <c r="B176" i="10" s="1"/>
  <c r="C185" i="10" s="1"/>
  <c r="I143" i="10"/>
  <c r="I144" i="10" s="1"/>
  <c r="F544" i="14"/>
  <c r="H544" i="14"/>
  <c r="D545" i="14" s="1"/>
  <c r="H511" i="14"/>
  <c r="D511" i="14"/>
  <c r="F511" i="14" s="1"/>
  <c r="H605" i="5"/>
  <c r="D605" i="5"/>
  <c r="F605" i="5" s="1"/>
  <c r="D581" i="5"/>
  <c r="F581" i="5" s="1"/>
  <c r="H581" i="5"/>
  <c r="H555" i="5"/>
  <c r="D555" i="5"/>
  <c r="F555" i="5" s="1"/>
  <c r="F534" i="5"/>
  <c r="H534" i="5"/>
  <c r="D535" i="5" s="1"/>
  <c r="G248" i="5"/>
  <c r="C248" i="5"/>
  <c r="E248" i="5" s="1"/>
  <c r="E250" i="5" s="1"/>
  <c r="G263" i="5"/>
  <c r="C263" i="5"/>
  <c r="E263" i="5" s="1"/>
  <c r="G231" i="5"/>
  <c r="C231" i="5"/>
  <c r="E231" i="5" s="1"/>
  <c r="E233" i="5" s="1"/>
  <c r="C235" i="5" s="1"/>
  <c r="G212" i="5"/>
  <c r="C212" i="5"/>
  <c r="E212" i="5" s="1"/>
  <c r="D180" i="5"/>
  <c r="F180" i="5" s="1"/>
  <c r="H180" i="5"/>
  <c r="D154" i="5"/>
  <c r="F154" i="5" s="1"/>
  <c r="H154" i="5"/>
  <c r="D123" i="5"/>
  <c r="F123" i="5" s="1"/>
  <c r="H123" i="5"/>
  <c r="D507" i="4"/>
  <c r="E507" i="4" s="1"/>
  <c r="F507" i="4"/>
  <c r="F402" i="4"/>
  <c r="D402" i="4"/>
  <c r="E402" i="4" s="1"/>
  <c r="D360" i="4"/>
  <c r="E360" i="4" s="1"/>
  <c r="G360" i="4"/>
  <c r="H91" i="14" l="1"/>
  <c r="D91" i="14"/>
  <c r="F91" i="14" s="1"/>
  <c r="F96" i="14" s="1"/>
  <c r="F97" i="14" s="1"/>
  <c r="H43" i="14"/>
  <c r="D43" i="14"/>
  <c r="F43" i="14" s="1"/>
  <c r="E265" i="5"/>
  <c r="D267" i="5" s="1"/>
  <c r="F478" i="4"/>
  <c r="D478" i="4"/>
  <c r="E478" i="4" s="1"/>
  <c r="H545" i="14"/>
  <c r="D546" i="14" s="1"/>
  <c r="F545" i="14"/>
  <c r="D512" i="14"/>
  <c r="F512" i="14" s="1"/>
  <c r="H512" i="14"/>
  <c r="D606" i="5"/>
  <c r="F606" i="5" s="1"/>
  <c r="H606" i="5"/>
  <c r="D582" i="5"/>
  <c r="F582" i="5" s="1"/>
  <c r="H582" i="5"/>
  <c r="D556" i="5"/>
  <c r="F556" i="5" s="1"/>
  <c r="H556" i="5"/>
  <c r="H535" i="5"/>
  <c r="D536" i="5" s="1"/>
  <c r="F535" i="5"/>
  <c r="G213" i="5"/>
  <c r="C213" i="5"/>
  <c r="E213" i="5" s="1"/>
  <c r="E217" i="5" s="1"/>
  <c r="H181" i="5"/>
  <c r="D181" i="5"/>
  <c r="F181" i="5" s="1"/>
  <c r="H155" i="5"/>
  <c r="D155" i="5"/>
  <c r="F155" i="5" s="1"/>
  <c r="H124" i="5"/>
  <c r="D124" i="5"/>
  <c r="F124" i="5" s="1"/>
  <c r="D508" i="4"/>
  <c r="E508" i="4" s="1"/>
  <c r="F508" i="4"/>
  <c r="F403" i="4"/>
  <c r="D403" i="4"/>
  <c r="E403" i="4" s="1"/>
  <c r="D361" i="4"/>
  <c r="E361" i="4" s="1"/>
  <c r="G361" i="4"/>
  <c r="G746" i="10"/>
  <c r="F746" i="10"/>
  <c r="F748" i="10" s="1"/>
  <c r="E746" i="10"/>
  <c r="E748" i="10" s="1"/>
  <c r="D746" i="10"/>
  <c r="D748" i="10" s="1"/>
  <c r="D670" i="10"/>
  <c r="D672" i="10" s="1"/>
  <c r="D653" i="10"/>
  <c r="E653" i="10" s="1"/>
  <c r="F653" i="10" s="1"/>
  <c r="H44" i="14" l="1"/>
  <c r="D44" i="14"/>
  <c r="F44" i="14" s="1"/>
  <c r="F479" i="4"/>
  <c r="D479" i="4"/>
  <c r="E479" i="4" s="1"/>
  <c r="E484" i="4" s="1"/>
  <c r="C491" i="4" s="1"/>
  <c r="F546" i="14"/>
  <c r="H546" i="14"/>
  <c r="D547" i="14" s="1"/>
  <c r="H513" i="14"/>
  <c r="D513" i="14"/>
  <c r="F513" i="14" s="1"/>
  <c r="H607" i="5"/>
  <c r="D607" i="5"/>
  <c r="F607" i="5" s="1"/>
  <c r="H583" i="5"/>
  <c r="D583" i="5"/>
  <c r="F583" i="5" s="1"/>
  <c r="D557" i="5"/>
  <c r="F557" i="5" s="1"/>
  <c r="H557" i="5"/>
  <c r="F536" i="5"/>
  <c r="H536" i="5"/>
  <c r="D537" i="5" s="1"/>
  <c r="H182" i="5"/>
  <c r="D182" i="5"/>
  <c r="F182" i="5" s="1"/>
  <c r="E189" i="5" s="1"/>
  <c r="C190" i="5" s="1"/>
  <c r="H156" i="5"/>
  <c r="D156" i="5"/>
  <c r="F156" i="5" s="1"/>
  <c r="F160" i="5" s="1"/>
  <c r="H125" i="5"/>
  <c r="D125" i="5"/>
  <c r="F125" i="5" s="1"/>
  <c r="F509" i="4"/>
  <c r="D509" i="4"/>
  <c r="E509" i="4" s="1"/>
  <c r="E514" i="4" s="1"/>
  <c r="F404" i="4"/>
  <c r="D404" i="4"/>
  <c r="E404" i="4" s="1"/>
  <c r="D362" i="4"/>
  <c r="E362" i="4" s="1"/>
  <c r="G362" i="4"/>
  <c r="D750" i="10"/>
  <c r="F753" i="10" s="1"/>
  <c r="E670" i="10"/>
  <c r="E672" i="10" s="1"/>
  <c r="C750" i="10"/>
  <c r="H45" i="14" l="1"/>
  <c r="D45" i="14"/>
  <c r="F45" i="14" s="1"/>
  <c r="F47" i="14" s="1"/>
  <c r="E129" i="5"/>
  <c r="H547" i="14"/>
  <c r="D548" i="14" s="1"/>
  <c r="F547" i="14"/>
  <c r="H514" i="14"/>
  <c r="D514" i="14"/>
  <c r="F514" i="14" s="1"/>
  <c r="H608" i="5"/>
  <c r="D608" i="5"/>
  <c r="F608" i="5" s="1"/>
  <c r="D584" i="5"/>
  <c r="F584" i="5" s="1"/>
  <c r="H584" i="5"/>
  <c r="D558" i="5"/>
  <c r="F558" i="5" s="1"/>
  <c r="H558" i="5"/>
  <c r="H537" i="5"/>
  <c r="D538" i="5" s="1"/>
  <c r="F537" i="5"/>
  <c r="F405" i="4"/>
  <c r="D405" i="4"/>
  <c r="E405" i="4" s="1"/>
  <c r="D363" i="4"/>
  <c r="E363" i="4" s="1"/>
  <c r="G363" i="4"/>
  <c r="F670" i="10"/>
  <c r="F672" i="10" s="1"/>
  <c r="C133" i="5" l="1"/>
  <c r="E140" i="5"/>
  <c r="E141" i="5" s="1"/>
  <c r="E410" i="4"/>
  <c r="B424" i="4" s="1"/>
  <c r="F548" i="14"/>
  <c r="H548" i="14"/>
  <c r="D549" i="14" s="1"/>
  <c r="D515" i="14"/>
  <c r="F515" i="14" s="1"/>
  <c r="H515" i="14"/>
  <c r="D609" i="5"/>
  <c r="F609" i="5" s="1"/>
  <c r="H609" i="5"/>
  <c r="H585" i="5"/>
  <c r="D585" i="5"/>
  <c r="F585" i="5" s="1"/>
  <c r="D559" i="5"/>
  <c r="F559" i="5" s="1"/>
  <c r="H559" i="5"/>
  <c r="H538" i="5"/>
  <c r="F538" i="5"/>
  <c r="F542" i="5" s="1"/>
  <c r="D364" i="4"/>
  <c r="E364" i="4" s="1"/>
  <c r="G364" i="4"/>
  <c r="H549" i="14" l="1"/>
  <c r="D550" i="14" s="1"/>
  <c r="F549" i="14"/>
  <c r="H516" i="14"/>
  <c r="D516" i="14"/>
  <c r="F516" i="14" s="1"/>
  <c r="H610" i="5"/>
  <c r="D610" i="5"/>
  <c r="F610" i="5" s="1"/>
  <c r="F613" i="5" s="1"/>
  <c r="F619" i="5" s="1"/>
  <c r="H586" i="5"/>
  <c r="D586" i="5"/>
  <c r="F586" i="5" s="1"/>
  <c r="F589" i="5" s="1"/>
  <c r="H560" i="5"/>
  <c r="D560" i="5"/>
  <c r="F560" i="5" s="1"/>
  <c r="F563" i="5" s="1"/>
  <c r="F569" i="5" s="1"/>
  <c r="D365" i="4"/>
  <c r="E365" i="4" s="1"/>
  <c r="G365" i="4"/>
  <c r="C719" i="7"/>
  <c r="H550" i="14" l="1"/>
  <c r="D551" i="14" s="1"/>
  <c r="F550" i="14"/>
  <c r="H517" i="14"/>
  <c r="D517" i="14"/>
  <c r="F517" i="14" s="1"/>
  <c r="D366" i="4"/>
  <c r="E366" i="4" s="1"/>
  <c r="G366" i="4"/>
  <c r="D717" i="7"/>
  <c r="D718" i="7"/>
  <c r="D719" i="7"/>
  <c r="D716" i="7"/>
  <c r="D720" i="7" l="1"/>
  <c r="H551" i="14"/>
  <c r="D552" i="14" s="1"/>
  <c r="F551" i="14"/>
  <c r="H518" i="14"/>
  <c r="D518" i="14"/>
  <c r="F518" i="14" s="1"/>
  <c r="F49" i="14"/>
  <c r="D367" i="4"/>
  <c r="E367" i="4" s="1"/>
  <c r="G367" i="4"/>
  <c r="A689" i="7"/>
  <c r="C669" i="7"/>
  <c r="D615" i="7"/>
  <c r="C618" i="7" s="1"/>
  <c r="B591" i="7"/>
  <c r="H552" i="14" l="1"/>
  <c r="D553" i="14" s="1"/>
  <c r="F552" i="14"/>
  <c r="D519" i="14"/>
  <c r="F519" i="14" s="1"/>
  <c r="H519" i="14"/>
  <c r="G368" i="4"/>
  <c r="D369" i="4" s="1"/>
  <c r="D368" i="4"/>
  <c r="E368" i="4" s="1"/>
  <c r="D515" i="7"/>
  <c r="D511" i="7"/>
  <c r="D403" i="7"/>
  <c r="C390" i="7"/>
  <c r="C404" i="7" s="1"/>
  <c r="D404" i="7" s="1"/>
  <c r="B286" i="7"/>
  <c r="F553" i="14" l="1"/>
  <c r="H553" i="14"/>
  <c r="D554" i="14" s="1"/>
  <c r="H520" i="14"/>
  <c r="D520" i="14"/>
  <c r="F520" i="14" s="1"/>
  <c r="E369" i="4"/>
  <c r="G369" i="4"/>
  <c r="D370" i="4" s="1"/>
  <c r="D409" i="7"/>
  <c r="C170" i="7"/>
  <c r="C141" i="7"/>
  <c r="F554" i="14" l="1"/>
  <c r="H554" i="14"/>
  <c r="H521" i="14"/>
  <c r="D521" i="14"/>
  <c r="F521" i="14" s="1"/>
  <c r="F523" i="14" s="1"/>
  <c r="F524" i="14" s="1"/>
  <c r="E370" i="4"/>
  <c r="G370" i="4"/>
  <c r="D371" i="4" s="1"/>
  <c r="D555" i="14" l="1"/>
  <c r="F555" i="14" s="1"/>
  <c r="H555" i="14"/>
  <c r="E371" i="4"/>
  <c r="E375" i="4" s="1"/>
  <c r="G371" i="4"/>
  <c r="G938" i="7"/>
  <c r="F913" i="7"/>
  <c r="F890" i="7"/>
  <c r="E894" i="7" s="1"/>
  <c r="F888" i="7"/>
  <c r="F864" i="7"/>
  <c r="E868" i="7" s="1"/>
  <c r="H556" i="14" l="1"/>
  <c r="D556" i="14"/>
  <c r="F556" i="14" s="1"/>
  <c r="D424" i="6"/>
  <c r="D557" i="14" l="1"/>
  <c r="F557" i="14" s="1"/>
  <c r="H557" i="14"/>
  <c r="E508" i="5"/>
  <c r="E506" i="5"/>
  <c r="E504" i="5"/>
  <c r="E502" i="5"/>
  <c r="H497" i="5"/>
  <c r="H498" i="5" s="1"/>
  <c r="D497" i="5"/>
  <c r="F497" i="5" s="1"/>
  <c r="E79" i="5"/>
  <c r="E77" i="5"/>
  <c r="H76" i="5"/>
  <c r="D77" i="5" s="1"/>
  <c r="F76" i="5"/>
  <c r="E338" i="4"/>
  <c r="E337" i="4"/>
  <c r="E336" i="4"/>
  <c r="C301" i="4"/>
  <c r="D301" i="4"/>
  <c r="E301" i="4"/>
  <c r="C110" i="4"/>
  <c r="C95" i="4"/>
  <c r="E37" i="4"/>
  <c r="E38" i="4"/>
  <c r="E39" i="4"/>
  <c r="E40" i="4"/>
  <c r="A166" i="4"/>
  <c r="A167" i="4" s="1"/>
  <c r="A168" i="4" s="1"/>
  <c r="A169" i="4" s="1"/>
  <c r="A170" i="4" s="1"/>
  <c r="A171" i="4" s="1"/>
  <c r="F165" i="4"/>
  <c r="F166" i="4" s="1"/>
  <c r="D165" i="4"/>
  <c r="B97" i="4"/>
  <c r="B98" i="4" s="1"/>
  <c r="B99" i="4" s="1"/>
  <c r="B100" i="4" s="1"/>
  <c r="B101" i="4" s="1"/>
  <c r="B102" i="4" s="1"/>
  <c r="B103" i="4" s="1"/>
  <c r="B104" i="4" s="1"/>
  <c r="B105" i="4" s="1"/>
  <c r="B106" i="4" s="1"/>
  <c r="B107" i="4" s="1"/>
  <c r="B108" i="4" s="1"/>
  <c r="B109" i="4" s="1"/>
  <c r="B110" i="4" s="1"/>
  <c r="E304" i="4"/>
  <c r="D304" i="4"/>
  <c r="C304" i="4"/>
  <c r="E229" i="4"/>
  <c r="D229" i="4"/>
  <c r="D228" i="4" s="1"/>
  <c r="D274" i="4" s="1"/>
  <c r="C229" i="4"/>
  <c r="C228" i="4" s="1"/>
  <c r="C274" i="4" s="1"/>
  <c r="D558" i="14" l="1"/>
  <c r="F558" i="14" s="1"/>
  <c r="H558" i="14"/>
  <c r="C96" i="4"/>
  <c r="E228" i="4"/>
  <c r="E274" i="4" s="1"/>
  <c r="F77" i="5"/>
  <c r="H77" i="5"/>
  <c r="H78" i="5" s="1"/>
  <c r="D79" i="5" s="1"/>
  <c r="D499" i="5"/>
  <c r="F499" i="5" s="1"/>
  <c r="H499" i="5"/>
  <c r="D498" i="5"/>
  <c r="F498" i="5" s="1"/>
  <c r="F167" i="4"/>
  <c r="F168" i="4" s="1"/>
  <c r="C167" i="4"/>
  <c r="D167" i="4" s="1"/>
  <c r="C166" i="4"/>
  <c r="D166" i="4" s="1"/>
  <c r="C303" i="4"/>
  <c r="D303" i="4"/>
  <c r="E303" i="4"/>
  <c r="D559" i="14" l="1"/>
  <c r="F559" i="14" s="1"/>
  <c r="H559" i="14"/>
  <c r="C97" i="4"/>
  <c r="C98" i="4" s="1"/>
  <c r="C99" i="4" s="1"/>
  <c r="C100" i="4" s="1"/>
  <c r="C101" i="4" s="1"/>
  <c r="C102" i="4" s="1"/>
  <c r="C103" i="4" s="1"/>
  <c r="C104" i="4" s="1"/>
  <c r="C105" i="4" s="1"/>
  <c r="C106" i="4" s="1"/>
  <c r="C107" i="4" s="1"/>
  <c r="C108" i="4" s="1"/>
  <c r="C109" i="4" s="1"/>
  <c r="F169" i="4"/>
  <c r="F170" i="4" s="1"/>
  <c r="F171" i="4" s="1"/>
  <c r="C169" i="4"/>
  <c r="D78" i="5"/>
  <c r="F78" i="5" s="1"/>
  <c r="F79" i="5"/>
  <c r="H79" i="5"/>
  <c r="H500" i="5"/>
  <c r="D500" i="5"/>
  <c r="F500" i="5" s="1"/>
  <c r="C168" i="4"/>
  <c r="D168" i="4" s="1"/>
  <c r="D560" i="14" l="1"/>
  <c r="F560" i="14" s="1"/>
  <c r="H560" i="14"/>
  <c r="C125" i="4"/>
  <c r="H80" i="5"/>
  <c r="D80" i="5"/>
  <c r="F80" i="5" s="1"/>
  <c r="D501" i="5"/>
  <c r="F501" i="5" s="1"/>
  <c r="H501" i="5"/>
  <c r="C170" i="4"/>
  <c r="D169" i="4"/>
  <c r="D561" i="14" l="1"/>
  <c r="F561" i="14" s="1"/>
  <c r="H561" i="14"/>
  <c r="H81" i="5"/>
  <c r="D81" i="5"/>
  <c r="F81" i="5" s="1"/>
  <c r="H502" i="5"/>
  <c r="D502" i="5"/>
  <c r="F502" i="5" s="1"/>
  <c r="D170" i="4"/>
  <c r="H562" i="14" l="1"/>
  <c r="D562" i="14"/>
  <c r="F562" i="14" s="1"/>
  <c r="D82" i="5"/>
  <c r="F82" i="5" s="1"/>
  <c r="H82" i="5"/>
  <c r="H503" i="5"/>
  <c r="D503" i="5"/>
  <c r="F503" i="5" s="1"/>
  <c r="C171" i="4"/>
  <c r="D171" i="4" s="1"/>
  <c r="D177" i="4" s="1"/>
  <c r="H563" i="14" l="1"/>
  <c r="D563" i="14"/>
  <c r="F563" i="14" s="1"/>
  <c r="H83" i="5"/>
  <c r="D83" i="5"/>
  <c r="F83" i="5" s="1"/>
  <c r="D504" i="5"/>
  <c r="F504" i="5" s="1"/>
  <c r="H504" i="5"/>
  <c r="H564" i="14" l="1"/>
  <c r="D564" i="14"/>
  <c r="F564" i="14" s="1"/>
  <c r="H84" i="5"/>
  <c r="D84" i="5"/>
  <c r="F84" i="5" s="1"/>
  <c r="H505" i="5"/>
  <c r="D505" i="5"/>
  <c r="F505" i="5" s="1"/>
  <c r="H565" i="14" l="1"/>
  <c r="D565" i="14"/>
  <c r="F565" i="14" s="1"/>
  <c r="H85" i="5"/>
  <c r="D85" i="5"/>
  <c r="F85" i="5" s="1"/>
  <c r="F100" i="5" s="1"/>
  <c r="D506" i="5"/>
  <c r="F506" i="5" s="1"/>
  <c r="H506" i="5"/>
  <c r="H566" i="14" l="1"/>
  <c r="D566" i="14"/>
  <c r="F566" i="14" s="1"/>
  <c r="F568" i="14" s="1"/>
  <c r="F569" i="14" s="1"/>
  <c r="H507" i="5"/>
  <c r="D507" i="5"/>
  <c r="F507" i="5" s="1"/>
  <c r="D508" i="5" l="1"/>
  <c r="F508" i="5" s="1"/>
  <c r="F512" i="5" s="1"/>
  <c r="H508" i="5"/>
</calcChain>
</file>

<file path=xl/sharedStrings.xml><?xml version="1.0" encoding="utf-8"?>
<sst xmlns="http://schemas.openxmlformats.org/spreadsheetml/2006/main" count="5563" uniqueCount="4045">
  <si>
    <t>מחברת הרצאות הקורס ״מימון מתקדם לחשבונאים״</t>
  </si>
  <si>
    <t>דוא״ל:</t>
  </si>
  <si>
    <t>shay.tsaban@gmail.com</t>
  </si>
  <si>
    <t>טלפון:</t>
  </si>
  <si>
    <t>לעניינים דחופים - 050-6551519</t>
  </si>
  <si>
    <t>מבנה הציון:</t>
  </si>
  <si>
    <t>בחינה</t>
  </si>
  <si>
    <t>מנהלות:</t>
  </si>
  <si>
    <t xml:space="preserve">כל חומרי ההרצאה הכתובים כולל הגדרות, נוסחאות, תרגילים ופתרונות - מופיעים בקובץ אקסל מרכזי זה. </t>
  </si>
  <si>
    <t>האקסל מעודכן אוטומטית בזמן השיעור ואת ריכוז ההנחיות לאחר כל שיעור תוכלו לראות  במפורט כאן מיד בסיומו.</t>
  </si>
  <si>
    <t>להלן תכנית שיעורים **משוערת**. עשויים לחול שינויים לפי קצב ההתקדמות והדינמיקה. אין לחץ, רק רצון ללמוד.</t>
  </si>
  <si>
    <t>שיעור</t>
  </si>
  <si>
    <t>תאריך</t>
  </si>
  <si>
    <t>נושא</t>
  </si>
  <si>
    <t>שיעורי בית / הנחיות</t>
  </si>
  <si>
    <t>מחיר ההון של החברה</t>
  </si>
  <si>
    <t>מימון מתקדם לחשבונאים - הרצאה 1</t>
  </si>
  <si>
    <t>נושא ראשון - אג״ח - אגרות חוב שקליות - בסיס</t>
  </si>
  <si>
    <t>מיומנויות נדרשות:</t>
  </si>
  <si>
    <t>הבנת מושג האג״ח</t>
  </si>
  <si>
    <t>אופן חישוב מחיר אג״ח וההבדל בין ריבית נקובה לתשואה לפדיון.</t>
  </si>
  <si>
    <t>התייחסות לאגרות חוב המשלמות ריבית בתדירויות שונות והמרות ריבית ותשואה לפדיון.</t>
  </si>
  <si>
    <t>התייחסות לאגרות חוב הנפדות לשיעורין.</t>
  </si>
  <si>
    <t>הקשר בין סיכון לתשואה לפדיון.</t>
  </si>
  <si>
    <t>חילוץ תשואה לפדיון באג״ח.</t>
  </si>
  <si>
    <t>מק״מ כמקרה פרטי של אג״ח.</t>
  </si>
  <si>
    <t>אג״ח קונסול / צמיתה כמקרה פרטי של אג״ח.</t>
  </si>
  <si>
    <t>הבנת מושג האג״ח:</t>
  </si>
  <si>
    <t>שיגיעו לידיו של הגורם שקונה ממנה (מחזיק) את אגרת החוב.</t>
  </si>
  <si>
    <t>הצד שיקבע מה תהיה התמורה בעד האג״ח - הוא רוכש האג״ח.</t>
  </si>
  <si>
    <r>
      <t xml:space="preserve">במובן זה, אג״ח דומה להלוואה: הצד שמגייס מקבל היום, ומתחייב לשלם בעתיד - אך </t>
    </r>
    <r>
      <rPr>
        <b/>
        <sz val="12"/>
        <color theme="1"/>
        <rFont val="David"/>
      </rPr>
      <t>שונה</t>
    </r>
    <r>
      <rPr>
        <sz val="12"/>
        <color theme="1"/>
        <rFont val="David"/>
      </rPr>
      <t xml:space="preserve"> במובן זה שהסכום </t>
    </r>
  </si>
  <si>
    <t>המתקבל בעקבות הנפקת האג״ח נקבע על ידי הצד המשלם, ולא על ידי הצד המגייס.</t>
  </si>
  <si>
    <t>שיעור התשואה לפדיון באג״ח דומות (בסיכון ומאפיינים) הוא 7% לשנה.</t>
  </si>
  <si>
    <t>נדרש: מהי תמורת ההנפקה?</t>
  </si>
  <si>
    <t>השלב הראשון: זיהוי תזרימי המזומנים - כמה כסף החברה משלמת למחזיק באג״ח, ומתי</t>
  </si>
  <si>
    <t>זמן</t>
  </si>
  <si>
    <t xml:space="preserve">קופון + </t>
  </si>
  <si>
    <t xml:space="preserve">ערך נקוב = </t>
  </si>
  <si>
    <t>תזרים כולל</t>
  </si>
  <si>
    <t>ההווה-ההנפקה</t>
  </si>
  <si>
    <t>קופון: ריבית נקובה (5%) * ערך נקוב (100)</t>
  </si>
  <si>
    <t>שנת הפירעון: מתקבל גם קופון תקופתי (5) וגם ערך נקוב (100).</t>
  </si>
  <si>
    <r>
      <t xml:space="preserve">בכל שנה ושנה - מבצעת החברה תשלום למשקיע שנקרא </t>
    </r>
    <r>
      <rPr>
        <b/>
        <sz val="12"/>
        <color theme="1"/>
        <rFont val="David"/>
      </rPr>
      <t>קופון</t>
    </r>
    <r>
      <rPr>
        <sz val="12"/>
        <color theme="1"/>
        <rFont val="David"/>
      </rPr>
      <t xml:space="preserve">: זהו </t>
    </r>
    <r>
      <rPr>
        <b/>
        <sz val="12"/>
        <color theme="1"/>
        <rFont val="David"/>
      </rPr>
      <t>תשלום הריבית התקופתית</t>
    </r>
    <r>
      <rPr>
        <sz val="12"/>
        <color theme="1"/>
        <rFont val="David"/>
      </rPr>
      <t xml:space="preserve"> שמוגדר על ידי</t>
    </r>
  </si>
  <si>
    <r>
      <rPr>
        <b/>
        <sz val="12"/>
        <color theme="1"/>
        <rFont val="David"/>
      </rPr>
      <t>מכפלה</t>
    </r>
    <r>
      <rPr>
        <sz val="12"/>
        <color theme="1"/>
        <rFont val="David"/>
      </rPr>
      <t xml:space="preserve"> של </t>
    </r>
    <r>
      <rPr>
        <u/>
        <sz val="12"/>
        <color theme="1"/>
        <rFont val="David"/>
      </rPr>
      <t>הריבית    ה נ ק ו ב ה</t>
    </r>
    <r>
      <rPr>
        <sz val="12"/>
        <color theme="1"/>
        <rFont val="David"/>
      </rPr>
      <t xml:space="preserve">       </t>
    </r>
    <r>
      <rPr>
        <u/>
        <sz val="12"/>
        <color theme="1"/>
        <rFont val="David"/>
      </rPr>
      <t>בערך הנקוב</t>
    </r>
    <r>
      <rPr>
        <sz val="12"/>
        <color theme="1"/>
        <rFont val="David"/>
      </rPr>
      <t xml:space="preserve">. </t>
    </r>
  </si>
  <si>
    <t>השלב השני: חישוב שווי האג״ח על בסיס התזרימים ושיעור התשואה לפדיון</t>
  </si>
  <si>
    <t xml:space="preserve">בהגדרה, שווי של כל נכס, לרבות אג״ח - מגלם לא רק את תזרימי המזומנים הצפויים לנבוע ממנו, פנימית - </t>
  </si>
  <si>
    <t>אלא גם את התשואה האלטרנטיבית (ה״רווח״ החלופי שהיה ניתן להניב באפיקי השקעה דומים).</t>
  </si>
  <si>
    <r>
      <t xml:space="preserve">שיעור התשואה האלטרנטיבי </t>
    </r>
    <r>
      <rPr>
        <b/>
        <sz val="12"/>
        <color theme="1"/>
        <rFont val="David"/>
      </rPr>
      <t>שיעור התשואה לפדיון</t>
    </r>
    <r>
      <rPr>
        <sz val="12"/>
        <color theme="1"/>
        <rFont val="David"/>
      </rPr>
      <t>. הוא איננו משפיע על התזרימים התקופתיים שתשלם</t>
    </r>
  </si>
  <si>
    <t>החברה המנפיקה - אך כן משפיע על השווי שבו יתמחרו המשקיעים את האג״ח.</t>
  </si>
  <si>
    <t>כלומר:</t>
  </si>
  <si>
    <t>ריבית נקובה = = = &gt; לטובת חישוב התזרים התקופתי</t>
  </si>
  <si>
    <t>שיעור תשואה לפדיון = = = &gt; לטובת חישוב השווי (ריבית להיוון).</t>
  </si>
  <si>
    <t>תזרים</t>
  </si>
  <si>
    <t>?</t>
  </si>
  <si>
    <t>מהו השווי היום? נתון ששיעור התשואה לפדיון 7% לשנה.</t>
  </si>
  <si>
    <t>שיעור תשואה לפדיון</t>
  </si>
  <si>
    <t xml:space="preserve">דרך 2: </t>
  </si>
  <si>
    <t>האג״ח תפרע בתשלום אחד בחלוף 8 שנים.</t>
  </si>
  <si>
    <t xml:space="preserve">שיעור התשואה לפדיון הוא 10.25%. </t>
  </si>
  <si>
    <t>מהו שווי האג״ח במועד הנפקתה?</t>
  </si>
  <si>
    <r>
      <t xml:space="preserve">בחישובי אג״ח, המרה של הריבית </t>
    </r>
    <r>
      <rPr>
        <u/>
        <sz val="12"/>
        <color theme="1"/>
        <rFont val="David"/>
      </rPr>
      <t>הנקובה</t>
    </r>
    <r>
      <rPr>
        <sz val="12"/>
        <color theme="1"/>
        <rFont val="David"/>
      </rPr>
      <t xml:space="preserve"> (למשל משנה לחצי שנה במקרה זה) מבוצעת </t>
    </r>
    <r>
      <rPr>
        <u/>
        <sz val="12"/>
        <color theme="1"/>
        <rFont val="David"/>
      </rPr>
      <t>תמיד</t>
    </r>
    <r>
      <rPr>
        <sz val="12"/>
        <color theme="1"/>
        <rFont val="David"/>
      </rPr>
      <t xml:space="preserve"> על ידי חלוקה מתאימה.</t>
    </r>
  </si>
  <si>
    <t>בשפה פשוטה: אם הריבית הנקובה 6% לשנה, משולמת כל חצי שנה, עלינו לקבוע ריבית חצי שנתית של 3% = 2 / 6%</t>
  </si>
  <si>
    <t xml:space="preserve">זמן </t>
  </si>
  <si>
    <t>.</t>
  </si>
  <si>
    <t>מדוע התזרים כל חצי שנה הוא 3?</t>
  </si>
  <si>
    <t xml:space="preserve">הריבית הנקובה השנתית 6%. </t>
  </si>
  <si>
    <t>משולמת כנתון כל חצי שנה.</t>
  </si>
  <si>
    <t>לכן, הריבית הנקובה החצי שנתית 3% = 2 / 6%.</t>
  </si>
  <si>
    <t xml:space="preserve">מכפלת הריבית הנקובה 3% בערך הנקוב 100 = 3. </t>
  </si>
  <si>
    <r>
      <rPr>
        <u/>
        <sz val="12"/>
        <color theme="1"/>
        <rFont val="David"/>
      </rPr>
      <t>בתום שנה 8</t>
    </r>
    <r>
      <rPr>
        <sz val="12"/>
        <color theme="1"/>
        <rFont val="David"/>
      </rPr>
      <t>: האג״ח נפרעת בתשלום אחד.</t>
    </r>
  </si>
  <si>
    <t xml:space="preserve">מתקבל גם הקופון וגם הערך הנקוב 103 = 3 + 100. </t>
  </si>
  <si>
    <t xml:space="preserve">בהינתן תזרימי המזומנים, היוונם בשיעור התשואה </t>
  </si>
  <si>
    <t>לפדיון יניב את השווי. הנקודה: חייבים לדאוג</t>
  </si>
  <si>
    <t>לחפיפה בין תקופת הריבית לבין תדירות התשלומים</t>
  </si>
  <si>
    <t>בהסדר:</t>
  </si>
  <si>
    <t>כאן - התשלומים - כל חצי שנה</t>
  </si>
  <si>
    <t>לכן - נדרש שיעור תשואה לפדיון חצי שנתי</t>
  </si>
  <si>
    <t>לצערנו נתון שיעור תשואה לפדיון לשנה (ברירת מחדל היא שריביות הן לשנה)</t>
  </si>
  <si>
    <t>לכן יש להמירו לחצי שנה.</t>
  </si>
  <si>
    <t>כאשר:</t>
  </si>
  <si>
    <t xml:space="preserve">חברת ניר הנפיקה אגרת חוב שערכה הנקוב 200 ש״ח. </t>
  </si>
  <si>
    <t xml:space="preserve">אגרת החוב נושאת ריבית שנתית נקובה בשיעור 4% לשנה המשולמת בתום כל שנה, 7 שנים. </t>
  </si>
  <si>
    <t xml:space="preserve">אגרת החוב נפרעת (בהיבט הערך הנקוב) ב-4 תשלומים שווים - המבוצעים בתום כל אחת מ-4 השנים האחרונות של </t>
  </si>
  <si>
    <t xml:space="preserve">האג״ח. </t>
  </si>
  <si>
    <t>בהנחה ששיעור התשואה לפדיון 3% - מהו שווי האג״ח?</t>
  </si>
  <si>
    <t>תשלום ערך 
נקוב</t>
  </si>
  <si>
    <t>תשלום
קופון</t>
  </si>
  <si>
    <t>סך התשלום
התקופתי</t>
  </si>
  <si>
    <t>יתרת
ערך נקוב</t>
  </si>
  <si>
    <t>פירוט מילולי:</t>
  </si>
  <si>
    <t>צעד 1: הערך הנקוב שמשולם בכל תקופה.</t>
  </si>
  <si>
    <t>אם לא נתון - כולו במכה אחת בתום התקופה.</t>
  </si>
  <si>
    <t>כאן: משולם ב-4 תשלומים ב-4 השנים האחרונות.</t>
  </si>
  <si>
    <t>200 / 4 = 50</t>
  </si>
  <si>
    <t>צעד 2: יתרת הערך הנקוב</t>
  </si>
  <si>
    <t>מתחילים בזמן 0 מהערך הנקוב במלואו (200)</t>
  </si>
  <si>
    <t xml:space="preserve">ובכל תקופה ותקופה מפחיתים ממנו את </t>
  </si>
  <si>
    <t>הערך הנקוב ששולם באותה תקופה.</t>
  </si>
  <si>
    <t>שווי האג״ח = תמורת ההנפקה</t>
  </si>
  <si>
    <t>צעד 3: תשלום קופון תקופתי</t>
  </si>
  <si>
    <t>מכפלת יתרת הערך הנקוב לתקופה קודמת</t>
  </si>
  <si>
    <t>כפול אחוז הריבית הנקובה</t>
  </si>
  <si>
    <t>צעד 4: חיבור צעדים 1 + 3: תשלום הערך הנקוב</t>
  </si>
  <si>
    <t>בתוספת תשלום הקופון.</t>
  </si>
  <si>
    <t>נתון בשאלה</t>
  </si>
  <si>
    <t>חברת ״מקבוקים״ בע״מ הנפיקה בתאריך 1.1.2018 אגרות חוב אשר ערכן הנקוב 100 ש״ח. פדיון אגרת החוב יבוצע</t>
  </si>
  <si>
    <t>בתשלום אחד בתאריך 31.12.2022, והיא משלמת ריבית נקובה שנתית בשיעור 4% בסוף כל שנה.</t>
  </si>
  <si>
    <t>נדרש: חשבו את מחיר האג״ח בכפוף לשיעורי התשואה לפדיון הבאים:</t>
  </si>
  <si>
    <t>א. שיעור התשואה לפדיון הוא 2% לשנה.</t>
  </si>
  <si>
    <t>ב. שיעור התשואה לפדיון הוא 4% לשנה.</t>
  </si>
  <si>
    <t>ג. שיעור התשואה לפדיון הוא 6% לשנה.</t>
  </si>
  <si>
    <t xml:space="preserve">תחילה: מדובר באגרת חוב שהקרן שלה (ערך נקוב) נפרעת בתשלום אחד - פונקציית חישוב השווי היא PV. </t>
  </si>
  <si>
    <t>אפשר גם לחשב תזרימים תקופתיים ולהפעיל עליהם NPV - אבל זה מיותר. זה יותר ארוך.</t>
  </si>
  <si>
    <t>נגדיר את הפרמטרים לחישוב השווי של ״אג״ח קופון קבוע״ זו:</t>
  </si>
  <si>
    <t>ג</t>
  </si>
  <si>
    <t>ב</t>
  </si>
  <si>
    <t>א</t>
  </si>
  <si>
    <t>rate</t>
  </si>
  <si>
    <t>מספר הקופונים הקבועים</t>
  </si>
  <si>
    <t>nper</t>
  </si>
  <si>
    <t>שווי האג״ח היום - המחושב</t>
  </si>
  <si>
    <t>pv</t>
  </si>
  <si>
    <t>גובה הקופון</t>
  </si>
  <si>
    <t>pmt</t>
  </si>
  <si>
    <t>הערך הנקוב</t>
  </si>
  <si>
    <t>fv</t>
  </si>
  <si>
    <t>דגשים ופירוט אופן החישוב לבקשת הקהל:</t>
  </si>
  <si>
    <t>כל טכניקת החישוב הזו, על שלל הגדרותיה ורכיביה - רלוונטית רק לאגרות חוב הנפרעות בתשלום אחד.</t>
  </si>
  <si>
    <t>במצבים אחרים - כגון אגרות חוב הנפרעות בתשלומים או לשיעורין - נצטרך לבנות מעין לוח סילוקין</t>
  </si>
  <si>
    <t xml:space="preserve">וליישם חישוב שווי הנשען על פונקציית NPV. </t>
  </si>
  <si>
    <t>מספר הקופונים: האג״ח הונפקה ב-1.1.2018, והיא משלמת ריבית בתום כל שנה עד וכולל 31.12.2022.</t>
  </si>
  <si>
    <t xml:space="preserve">המשמעות: ישנם 5 תשלומי ריבית (קופון): 2018, 2019, 2020, 2021, 2022. </t>
  </si>
  <si>
    <t xml:space="preserve">גובה הקופון: מחושב כמכפלה פשוטה של הריבית הנקובה בערך הנקוב. כאן: 4 = 100 * 4%. </t>
  </si>
  <si>
    <t>שווי האג״ח לעולם חיובי: העובדה שתוצאת ה PV שלילית - מסמלת בסך הכל את העובדה שהמשקיע יהיה מוכן</t>
  </si>
  <si>
    <t>לשלם סכום זה כדי לקבל את תזרימי האג״ח.</t>
  </si>
  <si>
    <t>הכללת התוצאה - ריבית נקובה מול שיעור התשואה לפדיון, והקשר לפער בין מחיר / שווי לערך נקוב:</t>
  </si>
  <si>
    <t>למשקיע ״אין אלטרנטיבה אטרקטיבית״ = שווי האג״ח גבוה מהערך הנקוב</t>
  </si>
  <si>
    <t>למשקיע ״יש אלטרנטיבה אטרקטיבית״ = שווי האג״ח נמוך מהערך הנקוב</t>
  </si>
  <si>
    <t>שווי זהה לערך הנקוב</t>
  </si>
  <si>
    <t>מערכת יחסים זו נכונה לכל סוג אג״ח ולא רק לאג״ח קופון קבוע.</t>
  </si>
  <si>
    <t xml:space="preserve">שאלה 2 - פרשנות לשאלה 1 </t>
  </si>
  <si>
    <t xml:space="preserve">על בסיס הממצאים שנבעו מפתרון שאלה 1, הסבירו את הקשר בין ריבית נקובה ושיעור תשואה לפדיון, </t>
  </si>
  <si>
    <t>אל מול הפער בין הערך הנקוב לבין שווי האג״ח.</t>
  </si>
  <si>
    <t>ריכוז ממצאי שאלה קודמת:</t>
  </si>
  <si>
    <t xml:space="preserve">pv </t>
  </si>
  <si>
    <t>ריבית נקובה</t>
  </si>
  <si>
    <t>אזי:</t>
  </si>
  <si>
    <r>
      <t xml:space="preserve">שווי האג״ח נמוך יותר מהערך הנקוב (מקרה ג) - </t>
    </r>
    <r>
      <rPr>
        <b/>
        <sz val="12"/>
        <color rgb="FFFF0000"/>
        <rFont val="David"/>
      </rPr>
      <t>נכיון</t>
    </r>
  </si>
  <si>
    <r>
      <t xml:space="preserve">שווי האג״ח גבוה יותר מהערך הנקוב (מקרה א) -  </t>
    </r>
    <r>
      <rPr>
        <b/>
        <sz val="12"/>
        <color rgb="FFFF0000"/>
        <rFont val="David"/>
      </rPr>
      <t>פרמיה</t>
    </r>
  </si>
  <si>
    <r>
      <t xml:space="preserve">שווי האג״ח זהה לערך הנקוב (מקרה ב) - </t>
    </r>
    <r>
      <rPr>
        <b/>
        <sz val="12"/>
        <color rgb="FFFF0000"/>
        <rFont val="David"/>
      </rPr>
      <t>פארי</t>
    </r>
  </si>
  <si>
    <t>התשובה: השאלה לא רלוונטית, משום שאת שיעור התשואה לפדיון ytm לא קובעים המשקיעים אלא השוק.</t>
  </si>
  <si>
    <t xml:space="preserve">חברת ״מונטריי״ הנפיקה ב-1.1.2021 אג״ח שערכה הנקוב 100 ש״ח. אגרת החוב תפדה בתשלום אחד </t>
  </si>
  <si>
    <t>ב-31.12.2024, והיא משלמת ריבית נקובה שנתית בשיעור 6% בתדירות של פעמיים בשנה: ב-30.6 וב-31.12</t>
  </si>
  <si>
    <t xml:space="preserve">של כל שנה, החל מיום 30.6.2021. </t>
  </si>
  <si>
    <t>נדרש: חשבו את מחיר האג״ח במועד ההנפקה בהינתן כל אחד משיעורי התשואה השנתית לפדיון הבאים:</t>
  </si>
  <si>
    <t>א. שיעור התשואה לפדיון הוא 4.04% לשנה.</t>
  </si>
  <si>
    <t>ב. שיעור התשואה לפדיון הוא 6.09% לשנה.</t>
  </si>
  <si>
    <t>ג. שיעור התשואה לפדיון הוא 8.16% לשנה.</t>
  </si>
  <si>
    <t>הקופון מחושב כמכפלה של ריבית נקובה בערך נקוב. כאן, הריבית הנקובה 6% אך נתון כי משולמת פעמיים בשנה.</t>
  </si>
  <si>
    <t xml:space="preserve">במצבים כאלו חישוב הקופון יתבסס על ריבית נקובה יחסית - חצי שנתית - 3% כך שהקופון 3 = 3% * 100. </t>
  </si>
  <si>
    <t>מספר הקופונים - 8, כי האג״ח ל-4 שנים, ומשלמת קופונים פעמיים בשנה.</t>
  </si>
  <si>
    <t xml:space="preserve">שיעור התשואה לפדיון: כאשר המטרה היא להוון סדרת תזרימי אג״ח שתדירותם היא אחת לחצי שנה - </t>
  </si>
  <si>
    <t xml:space="preserve">גם הריבית להיוון rate צריכה להיות במונחים חצי שנתיים. והואיל ושיעור תשואה לפדיון תמיד מבוטא </t>
  </si>
  <si>
    <t>במונחי ריבית אפקטיבית - ההמרה תבוצע עם חזקה:</t>
  </si>
  <si>
    <t xml:space="preserve">בחלופה א. </t>
  </si>
  <si>
    <t>הערה קטנה נוספת בהמשך לשאלת סטודנטים וסטודנטיות: כאשר הניסוח הוא ״החל מ-30.6 בשנה מסוימת״ הכוונה</t>
  </si>
  <si>
    <t xml:space="preserve">הפרשנית היא שהתזרים הראשון הוא במועד זה. </t>
  </si>
  <si>
    <t>הרחבה / רשות - פתרון חוזר בגישת npv:</t>
  </si>
  <si>
    <t>כמובן שניתן לפתור שאלות עם תזרימים קבועים גם עם פונקציית NPV, ופשוט לבצען 3 פעמים, בכל פעם תוך שימוש</t>
  </si>
  <si>
    <t>בשיעור התשואה לפדיון המתאים:</t>
  </si>
  <si>
    <t>חישוב בפונקציית npv כאשר שיעור התשואה לפדיון 2%:</t>
  </si>
  <si>
    <t>חישוב בפונקציית npv כאשר שיעור התשואה לפדיון 3%:</t>
  </si>
  <si>
    <t>חישוב בפונקציית npv כאשר שיעור התשואה לפדיון 4%:</t>
  </si>
  <si>
    <t>היום נמשיך כמובן בחישובי אג״ח.</t>
  </si>
  <si>
    <t>מטרתנו היא לחזק את הנלמד, צעד צעד, לאט לאט, ולדון בכל ההרחבות המתבקשות שנכללו בתרגילי ההמשך</t>
  </si>
  <si>
    <t xml:space="preserve">אליהם הופניתם להתמודדות ראשונית. </t>
  </si>
  <si>
    <t>הסוגיות המרכזיות שיידונו, בכפוף להספק ולהבנה מלאה:</t>
  </si>
  <si>
    <t>א. חזרה על אג״ח הנפרעת לשיעורין.</t>
  </si>
  <si>
    <t>ב. המשמעות של תמחור לאחר מועד ההנפקה.</t>
  </si>
  <si>
    <t xml:space="preserve">ג. חילוץ שיעור תשואה לפדיון. </t>
  </si>
  <si>
    <t>ד. המושג והחילוץ - שיעור תשואת החזקה.</t>
  </si>
  <si>
    <t>רקע ותזכורת - מהותי:</t>
  </si>
  <si>
    <t>אג״ח = מסמך המונפק על ידי חברה.</t>
  </si>
  <si>
    <t xml:space="preserve">במסגרת המסמך החברה מגדירה את התשלומים שתשלם למשקיע (המחזיק באג״ח). </t>
  </si>
  <si>
    <t>התשלומים הללו מתחלקים לשני חלקים:</t>
  </si>
  <si>
    <t>קופון תקופתי: מכפלת ריבית נקובה בערך נקוב.</t>
  </si>
  <si>
    <t xml:space="preserve">ערך נקוב: יכול להיות משולם בתשלום אחד בתום התקופה (המקרה הפשוט) או בחלקים (לשיעורין). </t>
  </si>
  <si>
    <t>שווי האג״ח ייקבע על ידי חישוב הערך הנוכחי של התשלומים באג״ח, ההיוון יבוצע בריבית השוק/שיעור תשואה לפדיון.</t>
  </si>
  <si>
    <t>רקע ותזכורת - הכלים הטכניים:</t>
  </si>
  <si>
    <t>יותר ברמת הצגה וחוסכים זמן של בניית טבלה.</t>
  </si>
  <si>
    <t xml:space="preserve">במקרה זה, שעשויים להשתנות מתקופה לתקופה. חישובי אג״ח זו לא יבוצעו באמצעות PV. </t>
  </si>
  <si>
    <t>תמחור אג״ח - תרשים נחמד שמסכם את הכלים שהוצגו:</t>
  </si>
  <si>
    <t>שנתיים שווים. הריבית הנקובה (השנתית) היא בשיעור 8% והיא משולמת פעמיים בשנה. שיעור התשואה לפדיון</t>
  </si>
  <si>
    <t>הוא 6.09% לשנה.</t>
  </si>
  <si>
    <t>נדרש (הניחו כי שיעור התשואה לפדיון ללא שינוי):</t>
  </si>
  <si>
    <t>א. חשבו את מחיר האג״ח ביום ההנפקה.</t>
  </si>
  <si>
    <t>ב. חשבו את מחיר האג״ח בחלוף 9 חודשים מיום ההנפקה.</t>
  </si>
  <si>
    <t xml:space="preserve">ג. חשבו את מחיר האג״ח מיד לאחר תשלום הקופון ה-3. </t>
  </si>
  <si>
    <t>פתרון:</t>
  </si>
  <si>
    <t>כאשר מדובר באג״ח הנפרעת לשיעורין - כלומר - פרעון בתשלומים (בשונה מפדיון ערך נקוב בסוף התקופה, כשרק</t>
  </si>
  <si>
    <t>הקופון משולם במהלך התקופה) הדרך להתמודדות דורשת בניית / עריכת לוח סילוקין שלם שעל בסיס סך תזרימיו</t>
  </si>
  <si>
    <t>התקופתיים יחושב שווי האג״ח - וזאת בהתבסס על NPV. איך בדיוק? (ע״נ = ערך נקוב)</t>
  </si>
  <si>
    <t>מס׳ תשלום</t>
  </si>
  <si>
    <t>קופון</t>
  </si>
  <si>
    <t>תשלום ע״נ</t>
  </si>
  <si>
    <t>סך תשלום</t>
  </si>
  <si>
    <t>יתרת ע״נ</t>
  </si>
  <si>
    <t>קרן 1</t>
  </si>
  <si>
    <t>קרן 2</t>
  </si>
  <si>
    <t>קרן 3</t>
  </si>
  <si>
    <t>קרן 4</t>
  </si>
  <si>
    <t>קרן 5</t>
  </si>
  <si>
    <t xml:space="preserve">הואיל והתזרימים חצי שנתיים - גם ההיוון הוא במונחי שיעור תשואה לפדיון במונחים חצי שנתיים. </t>
  </si>
  <si>
    <t>השווי = הערך הנוכחי = מחיר האג״ח:</t>
  </si>
  <si>
    <t>ב. חשבו את מחיר האג״ח בחלוף 9 חודשים מיום ההנפקה</t>
  </si>
  <si>
    <t xml:space="preserve">תחילה נזהה על ציר הזמן / בטבלה את כל התזרימים שאחרי 30/9/2021. </t>
  </si>
  <si>
    <t>מדוע? משום ששווי של כל נכס, כולל אג״ח, הוא הערך הנוכחי של התזרימים העתידיים, לאחר נקודת התמחור.</t>
  </si>
  <si>
    <t>חישוב ערך נוכחי של סדרה - מוביל אותי לנקודת הזמן שהיא ״תקופת תשלום אחת אחורה״ לפני מועד התזרים</t>
  </si>
  <si>
    <t>הראשון בסדרה.</t>
  </si>
  <si>
    <t xml:space="preserve">אנו נמצאים כעת ב-30/9/2021. התזרים הראשון מבחינתנו בעתיד הוא ב-31/12/2021. בנוסף, תקופת תשלום </t>
  </si>
  <si>
    <t>היא חצי שנה. ואם כך: קפצנו חצי שנה אחורה (תקופת תשלום אחת אחורה) ביחס ל-31/12/2021, כך שהאג״ח</t>
  </si>
  <si>
    <t xml:space="preserve">תומחרה ל-30/6/2021. </t>
  </si>
  <si>
    <t>תשובה סופית:</t>
  </si>
  <si>
    <t>בשונה מהסעיף הקודם, במקרה זה התוצאה שנכונה לתקופה של חצי שנה לפני התזרים הקרוב היא למעשה תוצאה</t>
  </si>
  <si>
    <t xml:space="preserve">בדיוק למועד התמחיר - 30/6/2022 משום שהתשלום הקרוב ב-31/12/2022. לכן אין צורך בהתאמה. </t>
  </si>
  <si>
    <t>לבית</t>
  </si>
  <si>
    <t>חברת ״היי סיירה״ הנפיקה ב-1.1.2021 אג״ח שערכה הנקוב 100 ש״ח. אגרת החוב תפדה ב-4 תשלומים</t>
  </si>
  <si>
    <t xml:space="preserve">שנתיים שווים שהראשון שבהם ב-31.12.2023. האג״ח נושאת ריבית נקובה שנתית בשיעור 8% המשולמת </t>
  </si>
  <si>
    <t>פעמיים בשנה. בהנחה ששיעור התשואה לפדיון הוא 6.09% לשנה, מהו שווי האג״ח במועד הנפקתה?</t>
  </si>
  <si>
    <t>שווי - ערך סופי</t>
  </si>
  <si>
    <t>=NPV(3%,F179:F190)</t>
  </si>
  <si>
    <t xml:space="preserve">בתאריך 31.12.2026, והיא משלמת קופון שנתי בשיעור 5% לשנה. </t>
  </si>
  <si>
    <t>חשבו את שיעור התשואה השנתי לפדיון באג״ח נכון למועד ההנפקה, בכפוף למחירים הבאים במועד ההנפקה:</t>
  </si>
  <si>
    <t>א. האג״ח הונפקה בתמורה ל-100 ש״ח.</t>
  </si>
  <si>
    <t>ב. האג״ח הונפקה בתמורה ל-90 ש״ח.</t>
  </si>
  <si>
    <t>ג. האג״ח הונפקה בתמורה ל-110 ש״ח.</t>
  </si>
  <si>
    <t xml:space="preserve">שווי האג״ח היום </t>
  </si>
  <si>
    <t xml:space="preserve">כאן, ספציפית - התשלומים שנתיים - לכן שיעור התשואה שחולץ - שנתי. </t>
  </si>
  <si>
    <t xml:space="preserve">במקרים אחרים - כאשר מרווחי הזמן בין תשלומים הם אחרים - התוצאה תהיה שונה (לפי המרווח). </t>
  </si>
  <si>
    <t>חברת "Lion״ הנפיקה ב-1.1.2021 אג״ח שערכה הנקוב 100 ש״ח. האג״ח תפדה בתשלום אחד ב-31.12.2025 והיא</t>
  </si>
  <si>
    <t>בכל אחד מהמקרים הבאים:</t>
  </si>
  <si>
    <t xml:space="preserve">א. מחיר האג״ח במועד ההנפקה הוא 100 ש״ח. </t>
  </si>
  <si>
    <t>ב. מחיר האג״ח במועד ההנפקה הוא 90 ש״ח.</t>
  </si>
  <si>
    <t>ג. מחיר האג״ח במועד ההנפקה הוא 110 ש״ח.</t>
  </si>
  <si>
    <t>התשלומים רבעוניים, לכן שיעור התשואה לפדיון מחולץ לרבעון, ויש לתאמו לשנה על פי הנדרש:</t>
  </si>
  <si>
    <t>התשובה הסופית:</t>
  </si>
  <si>
    <t xml:space="preserve">חברת ״El Capitan״ הנפיקה ב-1.1.2021 אג״ח אשר ערכה הנקוב 100 ש״ח (שימו לב רבותיי, זוהי ברירת מחדל - </t>
  </si>
  <si>
    <t>ערך נקוב 100 - גם אם לא נאמר מפורשות בשאלה). האג״ח הונפקה בתמורה ל-105 ש״ח והיא תפדה ב-5 תשלומים</t>
  </si>
  <si>
    <t>השנתי לפדיון?</t>
  </si>
  <si>
    <r>
      <t xml:space="preserve">שיעור התשואה לפדיון המחולץ מנתוני </t>
    </r>
    <r>
      <rPr>
        <b/>
        <sz val="12"/>
        <rFont val="David"/>
      </rPr>
      <t>סדרה משתנה</t>
    </r>
    <r>
      <rPr>
        <sz val="12"/>
        <rFont val="David"/>
      </rPr>
      <t>:</t>
    </r>
  </si>
  <si>
    <t xml:space="preserve">מתבסס על פונקציית irr. </t>
  </si>
  <si>
    <r>
      <t xml:space="preserve">לתוכה נזין כקלט את טווח כל התזרימים, </t>
    </r>
    <r>
      <rPr>
        <b/>
        <sz val="12"/>
        <color rgb="FFFF0000"/>
        <rFont val="David"/>
      </rPr>
      <t>לרבות ההשקעה הראשונית בזמן אפס</t>
    </r>
    <r>
      <rPr>
        <sz val="12"/>
        <color theme="1"/>
        <rFont val="David"/>
      </rPr>
      <t xml:space="preserve"> - בסדר כרונולוגי. </t>
    </r>
  </si>
  <si>
    <t>הואיל ונדרש שיעור התשואה לפדיון במונחים שנתיים - נעבד:</t>
  </si>
  <si>
    <t xml:space="preserve">ריבית שנתית נקובה בשיעור 8%, כאשר תדירות התשלום היא רבעונית. האג״ח נפדית בשני תשלומים שנתיים </t>
  </si>
  <si>
    <t xml:space="preserve">שווים שהראשון שבהם ב-31.12.2023. </t>
  </si>
  <si>
    <t>מהי התשואה השנתית לפדיון?</t>
  </si>
  <si>
    <t>אופן החישוב:</t>
  </si>
  <si>
    <t>פדיון ע״נ</t>
  </si>
  <si>
    <t>התשואה לפדיון, במונחים של תקופת תשלום (רבעון):</t>
  </si>
  <si>
    <t>התשואה לפדיון במונחים שנתיים:</t>
  </si>
  <si>
    <t>הסבר מפורט:</t>
  </si>
  <si>
    <t>הקופון הוא לפי שיעור ריבית נקובה של 8% לשנה, אך הואיל ומשולם כל רבעון, יש לחלק קופון זה ב-4 ולקבל ריבית</t>
  </si>
  <si>
    <t>נקובה רבעונית של 2% שתוכפל ביתרת הערך הנקוב של התקופה הקודמת כדי להגיע לסכום הקופון.</t>
  </si>
  <si>
    <t xml:space="preserve">תשלומי הערך הנקוב מסולקים לפי שני התאריכים השנתיים הנתונים בשאלה. </t>
  </si>
  <si>
    <t>פונקציית IRR היא זו שעזרה לגלות את שיעור התשואה לפדיון, אלא שכפי שלמדנו, שיעור התשואה לפדיון המתקבל</t>
  </si>
  <si>
    <t>כתוצאה מהפעלת הפונקציות נכון בתקופתו לפרק הזמן בין תשלומים, וכאן - לרבעון. משום כך, נערכה התאמה</t>
  </si>
  <si>
    <t>על בסיס נוסחת הריבית האפקטיבית כדי להמיר את התוצאה מרבעון לשנה.</t>
  </si>
  <si>
    <r>
      <t xml:space="preserve">אגרת החוב </t>
    </r>
    <r>
      <rPr>
        <sz val="12"/>
        <color rgb="FFFF0000"/>
        <rFont val="David"/>
      </rPr>
      <t>נפרעת ב-2 תשלומים</t>
    </r>
    <r>
      <rPr>
        <sz val="12"/>
        <color theme="1"/>
        <rFont val="David"/>
      </rPr>
      <t xml:space="preserve"> שנתיים שווים החל מיום 31.12.2023. מהו שיעור התשואה לפדיון בגין האג״ח </t>
    </r>
  </si>
  <si>
    <t>נכון ל-1.4.2021?</t>
  </si>
  <si>
    <t>זכרו כי לצרכי כל סוג של חישוב, תמיד מעניינים אותנו התזרימים מנקודת הזמן שבה מבוצע התמחור קדימה</t>
  </si>
  <si>
    <t>על ציר הזמן, כך שלמעשה מועד ההנפקה לא רלוונטי כשלעצמו. ואם כך, אם ב-1.4.2021, שזה בעצם ״רגע אחרי״</t>
  </si>
  <si>
    <t>תשלום הקופון הראשון, השווי של האג״ח הוא 104 - הרי שהוא מגלם בעצם את הערך הנוכחי של כל התזרימים</t>
  </si>
  <si>
    <t xml:space="preserve">מה-30.6.2021 ואילך. והואיל ואגרת חוב זו נפרעת בתשלומים (לשיעורין), אין לנו דרך לברוח מלוח הסילוקין - </t>
  </si>
  <si>
    <t>וראו בהקשר זה את שאלה 11 להלן.</t>
  </si>
  <si>
    <t>ע״ח ע״נ</t>
  </si>
  <si>
    <t>מת לא רלוונטי</t>
  </si>
  <si>
    <t>אני פה</t>
  </si>
  <si>
    <t>חצי קרן</t>
  </si>
  <si>
    <t>שיעור תשואה לפדיון במונחים רבעוניים-כי תדירות תשלום היא רבעונית</t>
  </si>
  <si>
    <t>התאמה לשנה במונחי ריבית אפקטיבית</t>
  </si>
  <si>
    <t xml:space="preserve">נקובה בשיעור 7% המשולמת בסוף כל שנה. המשקיע רכש את האג״ח ביום הנפקתה בתמורה ל-744 ש״ח. </t>
  </si>
  <si>
    <t>האג״ח תפרע ב-31.12.2025 בתשלום אחד.</t>
  </si>
  <si>
    <t>נדרש:</t>
  </si>
  <si>
    <t>סעיף א</t>
  </si>
  <si>
    <t>סעיף ב</t>
  </si>
  <si>
    <t>סה״כ</t>
  </si>
  <si>
    <t>עלות ההשקעה</t>
  </si>
  <si>
    <t>תשובה סופית</t>
  </si>
  <si>
    <t>חברת ״Mavericks״ הנפיקה ב-1.1.2021 אגרת חוב אשר ערכה הנקוב 800 ש״ח. אגרת החוב נושאת ריבית שנתית</t>
  </si>
  <si>
    <t xml:space="preserve">נקובה בשיעור 7% המשולמת בסוף כל חצי שנה, ונפרעת בתשלום אחד ב-31.12.2026. האג״ח נרכשה במועד </t>
  </si>
  <si>
    <r>
      <rPr>
        <b/>
        <sz val="12"/>
        <color rgb="FFFF0000"/>
        <rFont val="David"/>
      </rPr>
      <t>ההנפקה על ידי משקיע בתמורה ל-811 ש״ח</t>
    </r>
    <r>
      <rPr>
        <sz val="12"/>
        <color theme="1"/>
        <rFont val="David"/>
      </rPr>
      <t>. מיד לאחר הקופון ה-4, נמכרה האג״ח כאשר במועד זה שיעור</t>
    </r>
  </si>
  <si>
    <t>התשואה השנתי לפדיון היה 6.09%.</t>
  </si>
  <si>
    <t>א. בכמה מכר המשקיע את האג״ח?</t>
  </si>
  <si>
    <t>ב. מהו שיעור התשואה השנתי להחזקה מנקודת ראות זה שרכש אותה בהנפקה?</t>
  </si>
  <si>
    <t>שווי האג״ח יחושב בהגדרה על ידי pv במקרה זה, כאשר נזכור שהמטרה היא לתמחר אך ורק את התזרימים</t>
  </si>
  <si>
    <t>מנקודת החישוב ואילך. כך, אם אגרת החוב היא ל-6 שנים בסך הכל, והמטרה היא לתמחר את האג״ח לאחר</t>
  </si>
  <si>
    <t>שבוצעו 4 תשלומים (ולכן נותרו עוד 2 עתידיים) טכניקת התמחור תתבסס על הפרמטרים:</t>
  </si>
  <si>
    <t>תשואה לפדיון במונחים חצי שנתיים</t>
  </si>
  <si>
    <t xml:space="preserve">(1+6.09%)^0.5 - 1 = </t>
  </si>
  <si>
    <t>ראו הסבר למטה</t>
  </si>
  <si>
    <t xml:space="preserve">12 - 4 = </t>
  </si>
  <si>
    <t>קופון - ריבית נקובה חצי שנתית * ערך נקוב</t>
  </si>
  <si>
    <t xml:space="preserve">7% / 2 * 800 = </t>
  </si>
  <si>
    <t>המחיר שבו האג״ח תמכר ״למשקיע חדש״</t>
  </si>
  <si>
    <t>ערך נקוב</t>
  </si>
  <si>
    <t>האג״ח משלמת כל חצי שנה, 6 שנים. בסך הכל 12 תשלומים לאורך חייה. אך המטרה היא לתמחר לאחר</t>
  </si>
  <si>
    <t xml:space="preserve">שבוצעו זה מכבר 4 תשלומים, ולכן מספר התשלומים שנותרו שיהוו את הבסיס לתמחור לרגע זה הוא 8. </t>
  </si>
  <si>
    <t>שימו לב לסיפור:</t>
  </si>
  <si>
    <t>שאלו בכמה אני אוכל למכור את האג״ח לאחר 4 תשלומים.</t>
  </si>
  <si>
    <t>לשם כך עליי לנתח את העסקה מנקודת ראות מי שיקנה ממני בחלוף 4 תשלומים.</t>
  </si>
  <si>
    <t xml:space="preserve">משום שהשווי מנקודת ראות הקונה, זו תמורת המכירה מצידי. </t>
  </si>
  <si>
    <t>אם קונים ממני את האג״ח לאחר 4 תשלומים - אותו קנה זכאי לקבל עוד 8 תשלומי</t>
  </si>
  <si>
    <t>קופון וכן את הערך הנקוב בסך 800.</t>
  </si>
  <si>
    <t>כדי לחשב את תשואת ההחזקה עלינו לבצע תחילה סיכום פשוט של כל התקבולים במהלך תקופת</t>
  </si>
  <si>
    <t>ההחזקה. אם האג״ח היא מסוג קופון קבוע, פשוט נכפול את סכום הקופון התקופתי, שכאן הוא 28,</t>
  </si>
  <si>
    <t>במספר הקופונים עד המכירה, שהנו 4. בנוסף, את תמורת המכירה מיד לאחר הקופון ה-4 חישבנו הרי</t>
  </si>
  <si>
    <t>בנדרש א, ולכן:</t>
  </si>
  <si>
    <t>סה״כ תקבולים (Pt):</t>
  </si>
  <si>
    <t xml:space="preserve">28 * 4 + 828 = </t>
  </si>
  <si>
    <t>עלות ההשקעה (P0):</t>
  </si>
  <si>
    <t>נתון בגוף השאלה</t>
  </si>
  <si>
    <t>תשואת החזקה:</t>
  </si>
  <si>
    <t xml:space="preserve">940/811 - 1 = </t>
  </si>
  <si>
    <t xml:space="preserve">תשואת החזקה זו היא לכל תקופת ההחזקה, שמורכבת מ-4 חצאי שנים, כלומר לשנתיים (2years). כעת </t>
  </si>
  <si>
    <t>יש לתאם זאת למונחים של שנה אחת (annual) באמצעות נוסחת הריבית האפקטיבית:</t>
  </si>
  <si>
    <t xml:space="preserve">(1 + 15.906%)^0.5 - 1 = </t>
  </si>
  <si>
    <t>חברת ״ליפז מיליון תארים״ הנפיקה ב-1.1.2021 אגרת חוב אשר ערכה הנקוב 500 ש״ח. אגרת החוב נושאת ריבית שנתית</t>
  </si>
  <si>
    <t xml:space="preserve">נקובה בשיעור 10% המשולמת בסוף כל רבעון, ונפרעת בתשלום אחד ב-31.12.2023. האג״ח נרכשה במועד </t>
  </si>
  <si>
    <r>
      <rPr>
        <b/>
        <sz val="12"/>
        <color rgb="FFFF0000"/>
        <rFont val="David"/>
      </rPr>
      <t>ההנפקה על ידי משקיע בתמורה ל-495 ש״ח</t>
    </r>
    <r>
      <rPr>
        <sz val="12"/>
        <color theme="1"/>
        <rFont val="David"/>
      </rPr>
      <t>. מיד לאחר הקופון ה-3, נמכרה האג״ח כאשר במועד זה שיעור</t>
    </r>
  </si>
  <si>
    <t>התשואה השנתי לפדיון היה 8.243216%.</t>
  </si>
  <si>
    <t>פתרון סעיף א:</t>
  </si>
  <si>
    <t>הסבר מורחב: הריבית להיוון היא 2%, משום ששיעור התשואה לפדיון הוא במונחים שנתיים, ואילו התשלומים רבעוניים.</t>
  </si>
  <si>
    <t>לכן עלינו להמירו משנה לרבעון ושיעור תשואה לפדיון תמיד יומר עם נוסחת הריבית האפקטיבית שכאן היא חזקה</t>
  </si>
  <si>
    <t>מתאימה שהיא 1/4. משום כך:</t>
  </si>
  <si>
    <t>(1 + 8.243216%)^0.25-1=2%</t>
  </si>
  <si>
    <t xml:space="preserve">rate = </t>
  </si>
  <si>
    <t>לגבי nper. איך הגעתי ל-9? זכרו משפט מפתח שאמרנו מספר פעמים בכיתה: תמחור אג״ח תמיד נשען על ערך נוכחי</t>
  </si>
  <si>
    <t>של התזרימים שטרם בוצעו. מביטים קדימה, לא אחורה. מדובר באג״ח שהיא ל-3 שנים ותדירות התזרימים רבעונית</t>
  </si>
  <si>
    <t xml:space="preserve">כלומר 4 תזרימים בשנה. מכך נלמד שישנם 12 תשלומים בסך הכל לאורך כל חיי האג״ח, ואם כבר בוצעו 3, כמובן </t>
  </si>
  <si>
    <t xml:space="preserve">שבמבט קדימה (שתמיד נדרש לצורך התמחור!) נותרו עוד 9 לפי = 3 - 12. </t>
  </si>
  <si>
    <t>לגבי pmt. ריבית נקובה שנתית 10%, אך משולמת כל רבעון. המרת ריבית נקובה משנה לרבעון היא ע״י חלוקה ב-4</t>
  </si>
  <si>
    <t>ולכן הריבית הנקובה הרבעונית היא 2.5%. כופלים בערך הנקוב שהוא 500 ומקבלים קופון קבוע 12.5 ש״ח.</t>
  </si>
  <si>
    <r>
      <t xml:space="preserve">לבסוף: FV בחישובי </t>
    </r>
    <r>
      <rPr>
        <u/>
        <sz val="12"/>
        <color theme="1"/>
        <rFont val="David"/>
      </rPr>
      <t>תמחיר</t>
    </r>
    <r>
      <rPr>
        <sz val="12"/>
        <color theme="1"/>
        <rFont val="David"/>
      </rPr>
      <t xml:space="preserve"> באג״ח קופון קבוע (ללא פדיון לשיעורין) הוא הערך הנקוב. </t>
    </r>
  </si>
  <si>
    <t>זה הכל. כל הפרמטרים בידינו ויש לנו שווי אג״ח 3 תשלומים לאחר ההנפקה.</t>
  </si>
  <si>
    <r>
      <t xml:space="preserve">פתרון סעיף ב: </t>
    </r>
    <r>
      <rPr>
        <sz val="12"/>
        <color theme="1"/>
        <rFont val="David"/>
      </rPr>
      <t>שיעור התשואה השנתי לכל תקופת ההחזקה שהיא 3 רבעונים או 0.75 שנים, מחושב לפי היחס בין</t>
    </r>
  </si>
  <si>
    <t>סך התקבולים (3 תקבולי קופון בסך 12.5 כל אחד בתוספת תמורת המכירה שחושבה בסעיף א בסך 520.41) כך שבסך הכל:</t>
  </si>
  <si>
    <t xml:space="preserve">Pt = 3 * 12.5 + 520.41 = </t>
  </si>
  <si>
    <t>לגבי עלות רכישת האג״ח על ידי המשקיע שהחזיק בה בתקופה זו - היא נתונה בגוף השאלה:</t>
  </si>
  <si>
    <t xml:space="preserve">P0 = </t>
  </si>
  <si>
    <t>היחס בין התקבולים שסכמנו לבין עלות ההשקעה פחות אחת הוא HPR שיעור תשואה לתקופת ההחזקה כולה:</t>
  </si>
  <si>
    <t xml:space="preserve">HPR (0.75 Years) = </t>
  </si>
  <si>
    <t>שימו לב! זה שיעור התשואה לתקופת ההחזקה שהיא קצרה משנה ועומדת על 0.75 שנים. אם רוצים להתאימה לשנה,</t>
  </si>
  <si>
    <t xml:space="preserve">כנדרש. יש להשתמש בנוסחת הריבית האפקטיבית. הפעם, מעריך החזקה יהיה 1/0.75 (כי רוצים שנה, ויש לנו רק 0.75, </t>
  </si>
  <si>
    <t>יחס בין הרצוי למצוי הוא מה שמאפיין את מעריך החזקה בהתאמות ריבית אפקטיבית):</t>
  </si>
  <si>
    <t>תשובה סופית: HPR במונחים שנתיים:</t>
  </si>
  <si>
    <t xml:space="preserve">(1+12.708%)^(1/0.75) - 1= </t>
  </si>
  <si>
    <t>הערה: למי שמסתבך עם החזקה, חשבו על זה כך: איך ממירים מחצי שנה לשנה? חזקת 2 נכון? אבל חזקת 2 זה בעצם 1/0.5</t>
  </si>
  <si>
    <t>איך ממירים מרבעון לשנה? חזקת 4 נכון? אבל חזקת 4 זה בעצם 1/0.25</t>
  </si>
  <si>
    <t xml:space="preserve">ובאותה נשימה, איך ממירים מ-0.75 שנה לשנה? בדיוק באותו האופן. בחזקת 1/0.75. מקווה שעזרתי. </t>
  </si>
  <si>
    <t>מימון מתקדם לחשבונאים - הרצאה 4</t>
  </si>
  <si>
    <t xml:space="preserve">ד. אג״ח צמיתות / קונסול / לנצח: הגדרה וחישובים בסיסיים. </t>
  </si>
  <si>
    <t>מבוא - מק״מ</t>
  </si>
  <si>
    <t>הגדרה מתוך אתר הבורסה לניירות ערך:</t>
  </si>
  <si>
    <t xml:space="preserve">מק״מ (מלווה קצר מועד) הוא סוג של אגרת חוב ממשלתית. בנק ישראל מנפיק אותו לציבור עבור הממשלה. </t>
  </si>
  <si>
    <t>מדי חודש מונפק מק״מ חדש, שמשך החיים שלו הוא שנה.</t>
  </si>
  <si>
    <t>הנקוב 100 ש״ח יהיה כ-97 ש״ח, לשם ההמחשה]. כשהמק״מ נפדה, הם מקבלים 1 ש״ח עבור כל אגרת, והרווח שלהם הוא</t>
  </si>
  <si>
    <t>הפער בין אותו השקל לבין המחיר שבו קנו את המק״מ.</t>
  </si>
  <si>
    <t>המק״מ הוא אמצעי לספיגת כספים מהציבור ולויסות הפעילות הכלכלית במשק, ומקביל מנקודת ראות משקיעים</t>
  </si>
  <si>
    <t xml:space="preserve">רבים לפיקדון קצר טווח בבנקים. </t>
  </si>
  <si>
    <t>המק״מ הוא כלי נוסף בו משתמש בנק ישראל לעמידה ביעד האינפלציה, לצד קביעת הריבית במשק.</t>
  </si>
  <si>
    <t>תכלס, אילו סוגי שאלות קיימות במק״מ?</t>
  </si>
  <si>
    <t>א. חישוב התשואה: אם יודעים מהי עלות רכישת המק״מ (PV) ומן הסתם יודעים מה יתקבל בפדיון (FV) ניתן לחשב</t>
  </si>
  <si>
    <t>את התשואה וכן לתקנן אותה למונחים שנתיים. ניתן לעשות כן במספר דרכים, אנו נציג דרך אפשרית אחת.</t>
  </si>
  <si>
    <t xml:space="preserve">ב. חישוב המחיר: אם ידועה התשואה לפדיון, ויודעים מהו התזרים היחידי שיתקבל בעתיד (FV), ניתן לחשב את </t>
  </si>
  <si>
    <t>המחיר כמובן. מקרה מאד פשוט ונוח, כשעיקר האתגר הוא בהתאמת התקופה משום שמק״מ עובד בתקופות של ימים</t>
  </si>
  <si>
    <t>לפדיון בצורה מדויקת יותר.</t>
  </si>
  <si>
    <t>בנק ישראל הנפיק ב-1.1.2021 מק״מ לשנה.</t>
  </si>
  <si>
    <t>מה תהיה תשואת משקיע שרכש את האג״ח במועד זה, במונחים שנתיים?</t>
  </si>
  <si>
    <t>רקע:</t>
  </si>
  <si>
    <t>מק״מ = מלווה קצר מועד = אגרת חוב המונפקת על ידי הבנק המרכזי לתקופה של שנה (תמיד)</t>
  </si>
  <si>
    <t xml:space="preserve">ללא תשלומי קופון - רק תשלום בסוף (שכברירת מחדל הוא 100 אג׳). </t>
  </si>
  <si>
    <t xml:space="preserve">נקרא באנגלית Zero Coupon Bond. </t>
  </si>
  <si>
    <t>צעדי הפתרון:</t>
  </si>
  <si>
    <t>שלב א: נגדיר בתאים נפרדים את תאריך ההתחלה ואת תאריך הסיום.</t>
  </si>
  <si>
    <t>שלב ב: נחשב את מספר הימים בין תאריך הסיום וההתחלה לפי ההפרש בין התאריכים, ״פלוס 1״ אם נרכשה ״בבוקר״, אם נרכשה בערב אז ללא ״פלוס אחת״.</t>
  </si>
  <si>
    <t>שלב ג: נזין ב- rate את הפרמטרים, כאשר ב nper מס׳ הימים יחולק ב-365 כדי להתאים ליח׳ מידה של שנה.</t>
  </si>
  <si>
    <t>יישום:</t>
  </si>
  <si>
    <t>שיעור תשואה לפדיון במונחים שנתיים</t>
  </si>
  <si>
    <r>
      <t xml:space="preserve">ב-29.8.2021 </t>
    </r>
    <r>
      <rPr>
        <b/>
        <sz val="12"/>
        <color theme="1"/>
        <rFont val="David"/>
      </rPr>
      <t>בבוקר</t>
    </r>
    <r>
      <rPr>
        <sz val="12"/>
        <color theme="1"/>
        <rFont val="David"/>
      </rPr>
      <t xml:space="preserve"> נסחר המק״מ בתשואה שנתית של 2%.</t>
    </r>
  </si>
  <si>
    <t>חשבו את מחיר המק״מ למועד זה - ה-29.8.2021.</t>
  </si>
  <si>
    <t xml:space="preserve">שלב ב: נחשב את מספר הימים בין תאריך הסיום וההתחלה, ״פלוס 1״. </t>
  </si>
  <si>
    <t>שלב ג: נזין ב - pv את הפרמטרים, כאשר ב - nper מס׳ הימים יחולק ב-365 כדי להתאים ליח׳ מידה של שנה.</t>
  </si>
  <si>
    <t>שיעור תשואה במונחים שנתיים</t>
  </si>
  <si>
    <t>מבוא - אג״ח צמיתה / קונסול:</t>
  </si>
  <si>
    <t>מדובר באגרת חוב המשלמת קופונים תקופתיים (ריבית נקובה כפול ערך נקוב) אך לא נפרעת אף פעם. אג״ח כזו לא</t>
  </si>
  <si>
    <t>ולפיכך מהווים סדרה אינסופית קבועה.</t>
  </si>
  <si>
    <t>תכלס, אילו סוגי שאלות קיימות באג״ח צמיתה?</t>
  </si>
  <si>
    <t>זוהי אגרת חוב פשוטה מאד מאד. רוב הדיון בה הוא על בסיס הדרך שבה מתייחסים לתזרימים האינסופיים, כפי שנציג</t>
  </si>
  <si>
    <t>להלן בחישוב מחיר אג״ח צמיתה בתרגיל מטה.</t>
  </si>
  <si>
    <t>אג״ח קונסול / לאינסוף מחלקת קופון שנתי של 8%. מהו שער אגרת החוב היום, בהנחה שהיא נסחרת</t>
  </si>
  <si>
    <t>בתשואה של 7%?</t>
  </si>
  <si>
    <t>אג״ח Console / צמיתה היא אגרת חוב שמשלמת קופונים קבועים לנצח - כך שהקרן (הערך הנקוב) לא נפרע לעולם.</t>
  </si>
  <si>
    <r>
      <t xml:space="preserve">לכן, טכניקת חישוב הערך הנוכחי היא למעשה חישוב ערך נוכחי של </t>
    </r>
    <r>
      <rPr>
        <b/>
        <sz val="12"/>
        <color theme="1"/>
        <rFont val="David"/>
      </rPr>
      <t>סדרה אינסופית</t>
    </r>
    <r>
      <rPr>
        <sz val="12"/>
        <color theme="1"/>
        <rFont val="David"/>
      </rPr>
      <t>.</t>
    </r>
  </si>
  <si>
    <t>כהרגלנו בקודש לכל אורך הדרך, אלא אם נתון אחרת, יש להניח שהערך הנקוב 100. משום כך, סכום הקופון</t>
  </si>
  <si>
    <t>התקופתי כאן (לאינסוף) שהוא בגובה מכפלת הריבית הנקובה בערך הנקוב, יהיה:</t>
  </si>
  <si>
    <t>קירוב מספק ל״אינסוף״ מתמטית</t>
  </si>
  <si>
    <t>ריבית נקובה 8% כפול ערך נקוב 100 (מחדל)</t>
  </si>
  <si>
    <t>אין פירעון לעולם</t>
  </si>
  <si>
    <t>דרך נוספת - מתמטית קלה: תמיד ניתן לחשב ערך נוכחי של סדרה אינסופית על בסיס הפרופורציה הפשוטה</t>
  </si>
  <si>
    <t xml:space="preserve">שבין סכום התשלום התקופתי לבין הריבית להיוון - שבמקרה של אג״ח, היא שיעור התשואה לפדיון. </t>
  </si>
  <si>
    <t>וספציפית לגבי אג״ח אינסופית כולל יישום:</t>
  </si>
  <si>
    <t>rB</t>
  </si>
  <si>
    <t>B</t>
  </si>
  <si>
    <t>מכפלת הריבית הנקובה בערך הקופון - סכום התשלום התקופתי למחזיק באג״ח</t>
  </si>
  <si>
    <t>מבוא - מח״מ (משך חיים ממוצע בעברית,  ובאנגלית - דורציה - Duration)</t>
  </si>
  <si>
    <t>דורציה היא מונח המייצג את פרק הזמן הממוצע הנדרש לפדיון 1 ש״ח המושקעים באגרת החוב. זכרו כי באגרות חוב</t>
  </si>
  <si>
    <t>רבות (למעשה, למעט מק״מ) מתקבלים תשלומים במהלך התקופה ולא רק בסופה, מה שמוביל לכך שאם, למשל,</t>
  </si>
  <si>
    <t>אגרת חוב משלמת מחצית מהסכום בעוד 5 שנים, ומחצית נותרת בעוד 10 שנים, המח״מ שלה צפוי להיות בקירוב 7.5.</t>
  </si>
  <si>
    <t>כמובן שזה לא חישוב מדויק; ועל אף שניתן לבצעו, בהיותו נתון באתרי המסחר לא נבצעו בעצמנו אלא נתמקד</t>
  </si>
  <si>
    <t>בהבנה המשמעותית של סיכון הריבית הנובע ממנו.</t>
  </si>
  <si>
    <t>משפט: ככל שמשך החיים הממוצע (מח״מ) של האג״ח גבוה יותר, כך חשיפתה לשינויים בשיעורי הריבית גבוהה יותר.</t>
  </si>
  <si>
    <t xml:space="preserve">והפשט: מח״מ ארוך / גבוה: </t>
  </si>
  <si>
    <t>עלייה בשיעור התשואה לפדיון = ירידה חדה בשווי</t>
  </si>
  <si>
    <t>ירידה בשיעור התשואה לפדיון = עלייה חדה בשווי</t>
  </si>
  <si>
    <t>ולהפך: מח״מ קצר / נמוך:</t>
  </si>
  <si>
    <t>עלייה בשיעור התשואה לפדיון = ירידה מתונה בשווי</t>
  </si>
  <si>
    <t>ירידה בשיעור התשואה לפדיון = עלייה מתונה בשווי</t>
  </si>
  <si>
    <t>נציג להלן עקרונות אלו באמצעות תרגיל, ונלווה אותם במסקנה הנשענת על ממצאים כמותיים מתאימים.</t>
  </si>
  <si>
    <t>בשוק מסויים נסחרות 2 אגרות חוב של חברה מסויימת החשופות לסיכון אשראי זהה:</t>
  </si>
  <si>
    <t>זמן לפדיון
בשנים</t>
  </si>
  <si>
    <t>ריבית
נקובה</t>
  </si>
  <si>
    <t>ערך
נקוב</t>
  </si>
  <si>
    <t>אג״ח א</t>
  </si>
  <si>
    <t>אג״ח ב</t>
  </si>
  <si>
    <t>נדרש: חשבו את מחירי כל אחת מאגרות החוב במצב שבו הריבית להיוון היא:</t>
  </si>
  <si>
    <t>בשיעור 5% לשנה</t>
  </si>
  <si>
    <t>בשיעור 8% לשנה</t>
  </si>
  <si>
    <t>בשיעור 2% לשנה</t>
  </si>
  <si>
    <t>מבוא - אג״ח צמודה</t>
  </si>
  <si>
    <t>למושג ההצמדה התוודענו לראשונה ביסודות המימון. שם הבנו שבמקרים רבים, משקיעים מעוניינים להגן על השקעתם</t>
  </si>
  <si>
    <t>מפני עלייה ברמת המחירים (עלייה במדד המחירים לצרכן - אינפלציה) ולכן מעוניינים במכשירי השקעה שיבטיחו להם</t>
  </si>
  <si>
    <t>לא רק את הקרן הכספית הראשונית אלא גם יעדכנו אותה במידה ויחולו שינויים (ובעיקר עלייה) במדד המחירים לצרכן.</t>
  </si>
  <si>
    <t xml:space="preserve">כך מבטיחים שימור כח הקניה של ההשקעה ו״תשואה ריאלית״. </t>
  </si>
  <si>
    <t>תכל׳ס, אילו סוגי שאלות קיימות באג״ח צמודה?</t>
  </si>
  <si>
    <t>א. חישוב של אג״ח על פי נתונים לפני הצמדה, והצמדתם בהתאם, לפי שיעור השינוי במדד.</t>
  </si>
  <si>
    <t xml:space="preserve">ב. חילוץ שיעור התשואה בגין אג״ח צמודה, על בסיס התאמת שעריה ותזרימיה למונחים ריאליים. </t>
  </si>
  <si>
    <t>ג. חישובי אג״ח צמודות דולר.</t>
  </si>
  <si>
    <t>אג״ח ממשלתית צמודה למדד המחירים לצרכן ונושאת ריבית נקובה שנתית בשיעור 4%.</t>
  </si>
  <si>
    <t xml:space="preserve">ידוע כי יתרת אורך החיים של האג״ח נכון להיום היא 7 שנים. </t>
  </si>
  <si>
    <t>מדד הבסיס במועד ההנפקה היה 106 והמדד הידוע היום הוא 112.</t>
  </si>
  <si>
    <t>מהו מחיר האג״ח היום?</t>
  </si>
  <si>
    <t>אג״ח ממשלתית צמודה למדד המחירים לצרכן, נושאת ריבית נקובה שנתית בשיעור 6% ויתרת השנים</t>
  </si>
  <si>
    <t xml:space="preserve">עד למועד הפדיון היא 5. האג״ח נסחרת כעת בשער של 95. מדד הבסיס ביום ההנפקה היה 99 </t>
  </si>
  <si>
    <t xml:space="preserve">והמדד השוטף הידוע היום הוא 103. </t>
  </si>
  <si>
    <t>אג״ח חברה צמודה לדולר אמריקאי, נסחרה בתאריך 7.7.2011 בשיעור תשואה שנתי לפדיון של 5%.</t>
  </si>
  <si>
    <t xml:space="preserve">שער הדולר ביום זה היה 4.12 ש״ח לדולר, בעוד שבמועד הנפקת האג״ח הוא היה 4.01 ש״ח לדולר. </t>
  </si>
  <si>
    <t xml:space="preserve">האג״ח נושאת ריבית שנתית נקובה בשיעור 3% המשולמת בסוף כל שנה. </t>
  </si>
  <si>
    <t xml:space="preserve">הערך הנקוב ייפדה בתשלום אחד בתאריך 31.12.2016. </t>
  </si>
  <si>
    <t>מהו מחיר האג״ח בתאריך 7.7.2011?</t>
  </si>
  <si>
    <t>ע״ח קרן</t>
  </si>
  <si>
    <t>סך תזרים</t>
  </si>
  <si>
    <t>יתרת קרן</t>
  </si>
  <si>
    <t xml:space="preserve">בתאריך 1.1.2022 נסחרת אגרת חוב בשער של 102 אגורות. האג״ח משלמת קופון כל חצי שנה, שמתבסס על </t>
  </si>
  <si>
    <t>ריבית נקובה שנתית בשיעור 10% המשולם פעמיים בשנה, ב-31.3 וב-30.9 בהתאמה.</t>
  </si>
  <si>
    <t xml:space="preserve">האג״ח נפדית ב-4 תשלומים שנתיים שווים, שהראשון שבהם ב-30.9.2023. </t>
  </si>
  <si>
    <t>נדרש: מהו שיעור התשואה השנתי לפדיון?</t>
  </si>
  <si>
    <t>תשובה סופית: 10.43%</t>
  </si>
  <si>
    <t>בשלב ראשון נייצר את טבלת התזרימים:</t>
  </si>
  <si>
    <t xml:space="preserve">תמיד ולעולם: קופון חצי שנתי (פעמיים בשנה) משמעו שנוטלים את הריבית הנקובה השנתית, מחלקים ב-2, </t>
  </si>
  <si>
    <t>ואת התוצאה (ריבית נקובה חצי שנתית) כופלים ביתרת הערך הנקוב (לתקופה קודמת). כך מתקבל סכום הקופון הכספי.</t>
  </si>
  <si>
    <t>הבעיה: מרווח הזמן בין תזרימים איננו זהה. המרחק מההשקעה לתזרים הראשון - 3 חודשים, ומרחק הזמן בין</t>
  </si>
  <si>
    <t>כל שני תזרימים עוקבים הוא 6 חודשים. לכן חילוץ IRR יניב תוצאה שגויה. הפתרון: נייצר טבלה ״רבעונית״</t>
  </si>
  <si>
    <t>לכאורה, על ידי הוספת שורות נוספות רבעוניות שבהן הערך התזרימי אפס. כך נקבל:</t>
  </si>
  <si>
    <t>כעת ניתן לחלץ IRR רבעוני:</t>
  </si>
  <si>
    <t>וכן להמיר לשנה על ידי נוסחת הריבית האפקטיבית:</t>
  </si>
  <si>
    <t>זו התשובה הסופית</t>
  </si>
  <si>
    <t xml:space="preserve">(1 + 2.51%)^4 - 1 = </t>
  </si>
  <si>
    <t>טיפ: בחישובי IRR אנו דורשים שמרווח הזמן מנקודת התמחיר לכל שורה עוקבת תהיה זהה (כאן: רבעון).</t>
  </si>
  <si>
    <t>בחישובי NPV, אין חובה כזו, רק צריך לזכור, שחישוב ה - NPV מוביל למחיר ״אחת אחורה״ ובמידת הצורך</t>
  </si>
  <si>
    <t xml:space="preserve">ניתן לתאמו (FV) למועד הנדרש. </t>
  </si>
  <si>
    <t>בתאריך 30.10.2022 נסחרה אג״ח המשלמת ריבית נקובה שנתית בשעור 8% פעמיים בשנה, בתאריכים ה-31.3</t>
  </si>
  <si>
    <t xml:space="preserve">וה-30.9 בהתאמה. האג״ח נפרעת בשני תשלומים שנתיים שווים החל מיום 30.9.2024. </t>
  </si>
  <si>
    <t>אם האג״ח נסחרה בתשואה שנתית לפדיון בשיעור 6.09%, מהו השער שבו נסחרת האג״ח ב-30.10.2022?</t>
  </si>
  <si>
    <t>תשובה סופית: 105.09</t>
  </si>
  <si>
    <t>כדי לחשב מחיר, מהוונים בשיעור תשואה לפדיון שמתואם לתקופת תשלום - חצי שנה:</t>
  </si>
  <si>
    <t xml:space="preserve">(1 + 6.09%)^0.5 - 1 = </t>
  </si>
  <si>
    <t>כך נקבל:</t>
  </si>
  <si>
    <t>הבעיה: ערך נוכחי מוביל תקופת תשלום אחת לפני מועד התזרים הראשון. לכן, התוצאה אליה הגענו</t>
  </si>
  <si>
    <t>איננה נכונה ל-30/10 אלא ל-30/9. לכן יש לתקנן את התוצאה קדימה חודש אחד, או ליתר דיוק:</t>
  </si>
  <si>
    <t>הגענו אל</t>
  </si>
  <si>
    <t>צריך לקדם ל</t>
  </si>
  <si>
    <t>הפרש+1</t>
  </si>
  <si>
    <t>הואיל בחרתי לבטא nper בשנים, אזין בתקנון ריבית שנתית</t>
  </si>
  <si>
    <r>
      <rPr>
        <sz val="12"/>
        <color theme="0"/>
        <rFont val="David"/>
      </rPr>
      <t>,</t>
    </r>
    <r>
      <rPr>
        <sz val="12"/>
        <rFont val="David"/>
      </rPr>
      <t>=31/365</t>
    </r>
  </si>
  <si>
    <t>המחיר שחושב לעיל, ל-30.9, ואותו צריך לדחוף חודש קדימה</t>
  </si>
  <si>
    <t xml:space="preserve">תשובה סופית - 105.09 ש״ח. כמובן כמו שציינו, מי שייקח 30 ימים בהפרש לא קרה אסון. </t>
  </si>
  <si>
    <t>בתאריך 1.1.2022 הונפקה אג״ח בערך נקוב של 100 ש״ח. מועד פרעונה בחלוף 5 שנים ממועד הנפקתה.</t>
  </si>
  <si>
    <t>האג״ח משלמת ריבית נקובה שנתית בשיעור 8% בתדירות של אחת לחצי שנה.</t>
  </si>
  <si>
    <t>המשקיע רכש את האג״ח ביום ההנפקה במחיר 95 ש״ח ומכר את האג״ח מיד לאחר הקופון הרביעי.</t>
  </si>
  <si>
    <t xml:space="preserve">בהנחה שבמועד המכירה התשואה לפדיון היא 10.25% לשנה, מהי תשואת ההחזקה השנתית באג״ח HPR. </t>
  </si>
  <si>
    <t>תשובה: 8.05%</t>
  </si>
  <si>
    <t>ה- HPR, תשואת החזקה, הוא חישוב פיננסי ״נאיבי״ שמביא בחשבון את סך התקבולים של המשקיע (סיכום פשוט,</t>
  </si>
  <si>
    <t>ללא היוון) במונה, ואת סך עלות ההשקעה במכנה. ההנחה בבסיס השיטה היא שתקבולי הביניים של המשקיע</t>
  </si>
  <si>
    <t xml:space="preserve">כגון קופונים, אינם מושקעים חזרה ואינם צוברים ריבית. </t>
  </si>
  <si>
    <t xml:space="preserve">אם אנו רוכשים אג״ח - במחיר ידוע, אז המכנה של ה HPR ידוע, בנוסף את תקבולי הביניים - הקופונים, אנו יודעים גם. </t>
  </si>
  <si>
    <t>הערך היחידי שחסר, ולכן בו נתמקד בתהליך הפתרון הוא התקבול שינבע ממכירת האג״ח.</t>
  </si>
  <si>
    <t xml:space="preserve">בשלב ראשון, נחשב את המחיר במועד המכירה על בסיס הערך הנוכחי של התזרימים לאחר המכירה. </t>
  </si>
  <si>
    <t xml:space="preserve">=(1+10.25%)^0.5 - 1 </t>
  </si>
  <si>
    <t>בסך הכל, האג״ח משלמת</t>
  </si>
  <si>
    <t>=5*2-4</t>
  </si>
  <si>
    <t>עשרה תשלומים: תשלומים</t>
  </si>
  <si>
    <t>כל חצי שנה (פעמיים בשנה)</t>
  </si>
  <si>
    <t>במשך 5 שנים. לאחר שבוצעו</t>
  </si>
  <si>
    <t>כבר 4 תשלומים מתוך ה-10</t>
  </si>
  <si>
    <t>נותרו לביצוע עוד 6 תשלומים</t>
  </si>
  <si>
    <t>ולכן זה ה - nper שישרת</t>
  </si>
  <si>
    <t>את חישוב המחיר העדכני</t>
  </si>
  <si>
    <t>בשלב שני, נפעל לפי נוסחת HPR. המשקיע משלם 95 על האג״ח (מכנה), מקבל 4 תשלומים של 4 וכן 94.92 בתום</t>
  </si>
  <si>
    <t>התקופה, ולכן ה- HPR במונחים של תקופת ההחזקה (שהיא שנתיים - 4 חצאי שנים) הנו:</t>
  </si>
  <si>
    <t xml:space="preserve">(4 * 4 + 94.92)/95 - 1 = </t>
  </si>
  <si>
    <t>וכעת כדי לתרגם למונחים של שנה אחת:</t>
  </si>
  <si>
    <t>התשובה הסופית</t>
  </si>
  <si>
    <t xml:space="preserve">(1 + 16.76%)^0.5 - 1 = </t>
  </si>
  <si>
    <t>שימו לב: כאשר מחשבים HPR, תמיד ובהגדרה התוצאה הראשונית (16.76%) היא התשואה לכל תקופת ההחזקה.</t>
  </si>
  <si>
    <t xml:space="preserve">אם למשל החזקנו באג״ח שנתיים, קיבלנו HPR לשנתיים. </t>
  </si>
  <si>
    <t>זה שונה מהותית מחישובי תשואה מבוססי rate או IRR שבמסגרתם התוצאה תמיד משקפת תשואה לפרק זמן</t>
  </si>
  <si>
    <t xml:space="preserve">בין תשלומים. </t>
  </si>
  <si>
    <r>
      <t xml:space="preserve">את המונח מניה אנו מכירים - </t>
    </r>
    <r>
      <rPr>
        <b/>
        <sz val="12"/>
        <color rgb="FFFF0000"/>
        <rFont val="David"/>
      </rPr>
      <t>מסמך המקנה לאוחז בו זכות יחסית ברווחי החברה המנפיקה</t>
    </r>
    <r>
      <rPr>
        <sz val="12"/>
        <color theme="1"/>
        <rFont val="David"/>
      </rPr>
      <t>, וכן זכות להשתתף</t>
    </r>
  </si>
  <si>
    <t>ולהשפיע (בהתאם לאחוז המניות שבידי המשקיע) על החלטות בישות המדווחת (שבה משקיעים).</t>
  </si>
  <si>
    <t xml:space="preserve">אנו נתמקד בקורס זה באופן שבו מתומחרות מניות, ולכן מבחינה דידקטית נושא זה נלמד בסמוך לנושא </t>
  </si>
  <si>
    <t>אגרות החוב; גם לגבי מניות, אנו נרצה לדעת מהן תזרימי המזומנים הצפויים לנבוע מהן - ובראשם, דיבידנדים;</t>
  </si>
  <si>
    <t xml:space="preserve">מהו מחיר ההון המתאים להיוון תזרימים אלו (הנקרא ״מחיר ההון העצמי״ או ״שיעור התשואה הנדרש על </t>
  </si>
  <si>
    <t>ידי בעלי המניות״), וכמובן - כיצד לקבוע את מחיר המניה בהתבסס על חישובי ערך נוכחי רלוונטיים.</t>
  </si>
  <si>
    <t>מעבר לזה, תוצגנה כמובן סוגיות נוספות - חילוצי ערכים, המשמעות של צמיחת הדיבידנד במגוון הקשרים,</t>
  </si>
  <si>
    <t xml:space="preserve">וגם יישום ערך בגישה מעט שונה שיובהר בהמשך - גישת המכפילים. </t>
  </si>
  <si>
    <t>בכל מקרה, נתחיל מהבסיס.</t>
  </si>
  <si>
    <t>אז בעצם - תמחור מניות בגישה הבסיסית העיקרית בקורס:</t>
  </si>
  <si>
    <t>א. יישען על הדיבידנדים העתידיים הצפויים.</t>
  </si>
  <si>
    <t>ב. שיתקבלו / צפויים להתקבל לאינסוף.</t>
  </si>
  <si>
    <t>ג. ובשיקלול הצמיחה בערכיהם לאורך זמן.</t>
  </si>
  <si>
    <t>מטרות העל של המפגש - תוצרי למידה לתרגול</t>
  </si>
  <si>
    <t xml:space="preserve">כלל היישומים הנדרשים לפתרון תרגילים 1-7 מתרגיל הבית בנושא מניות. </t>
  </si>
  <si>
    <t xml:space="preserve">מכין לכם כאן מתווה 1 ל-1, מפורט עם ריכוז נוסחאות, עם הערות הרחבה ומחשבה, בקיצור, טיל בליסטי. </t>
  </si>
  <si>
    <t>יש גם אחלה תרגילים נוספים בסוף מערך השיעור עם פתרונות מלאים לתרגול עצמי ואני אובייקטיבי כמובן.</t>
  </si>
  <si>
    <t>תמונה להמחשת רמת האיכות של מערך השיעור</t>
  </si>
  <si>
    <t>נוסחת הבסיס לתמחור מניה והסברה הבסיסי</t>
  </si>
  <si>
    <t>מקרא:</t>
  </si>
  <si>
    <r>
      <t xml:space="preserve">נוסחה 1: </t>
    </r>
    <r>
      <rPr>
        <b/>
        <sz val="12"/>
        <color theme="1"/>
        <rFont val="David"/>
      </rPr>
      <t>תמחור מניה</t>
    </r>
  </si>
  <si>
    <t>PS</t>
  </si>
  <si>
    <t>מחיר המניה</t>
  </si>
  <si>
    <t>r</t>
  </si>
  <si>
    <t>שיעור תשואה נדרש ע״י בעלי המניות</t>
  </si>
  <si>
    <t>g</t>
  </si>
  <si>
    <t>שיעור הצמיחה (של הדיבידנד)</t>
  </si>
  <si>
    <t>DIV</t>
  </si>
  <si>
    <t>הדיבידנד (למניה) העתידי הקרוב</t>
  </si>
  <si>
    <r>
      <t xml:space="preserve">נוסחה 2: חילוץ </t>
    </r>
    <r>
      <rPr>
        <b/>
        <sz val="12"/>
        <color theme="1"/>
        <rFont val="David"/>
      </rPr>
      <t>שיעור התשואה הנדרש</t>
    </r>
    <r>
      <rPr>
        <sz val="12"/>
        <color theme="1"/>
        <rFont val="David"/>
      </rPr>
      <t xml:space="preserve"> (פיתוח של נוסחה 1):</t>
    </r>
  </si>
  <si>
    <t>DY</t>
  </si>
  <si>
    <t>שיעור תשואת דיבידנד Dividend Yield</t>
  </si>
  <si>
    <t>EPS</t>
  </si>
  <si>
    <t>הרווח למניה בשנה שחלפה</t>
  </si>
  <si>
    <t>נוסחה 3: חילוץ שיעור הצמיחה הנדרש (פיתוח של נוסחה 1 / 2):</t>
  </si>
  <si>
    <t>נוסחה 4: תשואת הדיבידנד:</t>
  </si>
  <si>
    <t>נוסחה 5: מכפיל הרווח:</t>
  </si>
  <si>
    <t>נוסחה 6: הקשר בין תשואת דיבידנד והתשואה הנדרשת על ידי בעלי המניות:</t>
  </si>
  <si>
    <t>כמובן שפרט לנוסחאות בסיס אלו, נדרש למגוון התאמות וסוגיות משנה. אבל עליהן כבר נדבר ונדון בקונטקסט</t>
  </si>
  <si>
    <t>של שאלות רלוונטיות תוך הסבר המשמעות וההתאמות העקרוניות.</t>
  </si>
  <si>
    <t>שאלה 1 - תמחור מניה, תשואת דיבידנד והקשר למכפיל הרווח</t>
  </si>
  <si>
    <t>חברה שילמה אתמול דיבידנד של 50 אגורות למניה מתוך רווח של 2.5 ש״ח למניה. היא צפויה לשלם דיבידנד בסכום</t>
  </si>
  <si>
    <t xml:space="preserve">בשיעור זה בעתיד הנראה לעין. שיעור התשואה הנדרש על ידי בעלי המניות הוא 15%. </t>
  </si>
  <si>
    <t>א. העריכו את מחיר המניה בשוק היום.</t>
  </si>
  <si>
    <t>ב. חשבו את תשואת הדיבידנד.</t>
  </si>
  <si>
    <t xml:space="preserve">ג. חשבו את מכפיל הרווח. </t>
  </si>
  <si>
    <t>פתרון סעיף א - חישוב מחיר המניה PS על בסיס נוסחת גורדון נוסחה 1</t>
  </si>
  <si>
    <t>הדרך הנוחה ביותר לחשב את שווי המניה היא על בסיס תמחור המניה - נוסחה 1. חשוב להדגיש כי מדובר במקרה</t>
  </si>
  <si>
    <t>פרטי של נוסחת ערך נוכחי סדרתי לכל דבר ועניין; ולכן גם היא מובילה לנקודת הזמן המוקדמת בתקופת תשלום</t>
  </si>
  <si>
    <t>אחת ממועד הדיבידנד העתידי הקרוב. כאן, זה קליל, כי הדיבידנד הקרוב בדיוק בעוד שנה. במקרים אחרים נצטרך</t>
  </si>
  <si>
    <t>התאמות. נדבר על זה בנפרד.</t>
  </si>
  <si>
    <t>הנוסחה:</t>
  </si>
  <si>
    <t>Ps = Div/(r - g)</t>
  </si>
  <si>
    <t>Ps</t>
  </si>
  <si>
    <t>מחיר המניה - הערך שיש לחשב.</t>
  </si>
  <si>
    <t>Div</t>
  </si>
  <si>
    <t>הדיבידנד העתידי הקרוב ביותר. כאן, סכומו 0.55 ש״ח (55 אגורות) כנתון.</t>
  </si>
  <si>
    <t>מחיר ההון / שיעור התשואה הנדרש על ידי בעלי המניות. כאן 15% כנתון.</t>
  </si>
  <si>
    <t>שיעור הצמיחה השנתי בדיבידנד - כאן 10% כנתון.</t>
  </si>
  <si>
    <t>בהצבה נקבל חיש קל:</t>
  </si>
  <si>
    <t>פתרון סעיף ב - חישוב תשואת הדיבידנד - על בסיס נוסחה 4</t>
  </si>
  <si>
    <t>תשואת הדיבידנד מחושבת לפי נוסחה 4 כך:</t>
  </si>
  <si>
    <t>DY = DIV/PS</t>
  </si>
  <si>
    <t>שיעור תשואת הדיבידנד - Dividend Yield</t>
  </si>
  <si>
    <t xml:space="preserve">הדיבידנד העתידי הקרוב. </t>
  </si>
  <si>
    <t>מחיר המניה, חושב בסעיף א והנו 11 ש״ח.</t>
  </si>
  <si>
    <t>תשואת הדיבידנד, בהתאם, היא 5%.</t>
  </si>
  <si>
    <r>
      <rPr>
        <b/>
        <sz val="12"/>
        <color theme="1"/>
        <rFont val="David"/>
      </rPr>
      <t>עכשיו הערה חשובה</t>
    </r>
    <r>
      <rPr>
        <sz val="12"/>
        <color theme="1"/>
        <rFont val="David"/>
      </rPr>
      <t xml:space="preserve">: תשואת דיבידנד  מחושבת לעתים לפי היחס בין הדיבידנד </t>
    </r>
    <r>
      <rPr>
        <b/>
        <sz val="12"/>
        <color theme="1"/>
        <rFont val="David"/>
      </rPr>
      <t>ההיסטורי</t>
    </r>
    <r>
      <rPr>
        <sz val="12"/>
        <color theme="1"/>
        <rFont val="David"/>
      </rPr>
      <t xml:space="preserve"> לבין מחיר המניה.</t>
    </r>
  </si>
  <si>
    <t>מצב כזה מוביל לתשואת דיבידנד נמוכה יותר, של 0.5/11 ובערך 4.54% תשואת דיבידנד. מה ההיגיון? שבמקרים רבים</t>
  </si>
  <si>
    <t>בצורה ברורה לפי איזה דיבדנד ללכת; אבל חשוב לדעת שניתן לחשב גם לפי דיבידנד היסטורי ואת המשמעות</t>
  </si>
  <si>
    <t xml:space="preserve">הנובעת מכך. </t>
  </si>
  <si>
    <t xml:space="preserve">לגבי שיעורי הבית, שאלה 1 סעיף ב, ניתן לפתור בהחלט במתווה לעיל.  </t>
  </si>
  <si>
    <t>פתרון סעיף ג - מכפיל הרווח - על בסיס נוסחה 5</t>
  </si>
  <si>
    <t>מכפיל הרווח המסומן PE, ראשי תיבות של Price to Earnings Ratio, הוא ערך חשבונאי הבוחן את היחס בין מחיר</t>
  </si>
  <si>
    <t>המניה לבין הרווח למניה. מתמטית:</t>
  </si>
  <si>
    <t>PE = PS/EPS</t>
  </si>
  <si>
    <t>PE</t>
  </si>
  <si>
    <t>מכפיל הרווח</t>
  </si>
  <si>
    <t>מחיר המניה, שכאן חושב בסעיף א והנו 11 ש״ח</t>
  </si>
  <si>
    <t>בהצבה פשוטה נקבל:</t>
  </si>
  <si>
    <t xml:space="preserve">PE = 11/2.5 = </t>
  </si>
  <si>
    <t xml:space="preserve">והמסקנה: מכפיל הרווח הוא 4.4, המשמעות הבסיסית היא שבהנחה והרווח למניה יישאר קבוע, ויחולק כולו </t>
  </si>
  <si>
    <t>כדיבידנד, פרק הזמן להחזר ההשקעה הוא כ-4.4 שנים. כמובן שהנחה זו במקרים רבים לא מתקיימת וכפופה</t>
  </si>
  <si>
    <t>לביקורת אבל נניח כרגע את הדיון המעמיק בה בצד ונחזור אליו בהמשך דרכנו. כרגע נמשיך ביישומים הבסיסיים.</t>
  </si>
  <si>
    <t>שאלה 2 - שיעור תשואה נדרש על ידי בעלי המניות</t>
  </si>
  <si>
    <t>של 3 ש״ח למניה, ישולם בעוד שנה. שיעור הצמיחה הקבוע הוא 4% לשנה. מהו שיעור התשואה הנדרש על ידי בעלי</t>
  </si>
  <si>
    <t>המניות בחברה?</t>
  </si>
  <si>
    <t>באופן כללי, ניתן לפתור בזריזות באמצעות נוסחה 2 שהיא ייעודית למטרה זו. יחד עם זאת, אני באופן אישי לא</t>
  </si>
  <si>
    <t xml:space="preserve">עף עליה. ומדוע? משום שבסופו של יום, מדובר בפיתוח רגיל פשוט של נוסחת מחיר מניה. תמיד אפשר לחלץ </t>
  </si>
  <si>
    <t>נעלם מנוסחה 1, לא משנה איזה נעלם זה. לכן, אציג את השיטה שאני מעדיף (נוסחה 1 וחילוץ נעלם) ואחר כך אציג</t>
  </si>
  <si>
    <t xml:space="preserve">לטובת הרובוטריקים מביניכם את נוסחה 2 שהיא פחות הבנתית (לדעתי הענייה). </t>
  </si>
  <si>
    <t>נוסחה 1 - לתמחור מניה, וחילוץ הנעלם r:</t>
  </si>
  <si>
    <t>מחיר המניה - נתון בסכום של 80 ש״ח.</t>
  </si>
  <si>
    <t xml:space="preserve">הדיבידנד העתידי הקרוב ביותר. כאן, סכומו 3 ש״ח - נתון. </t>
  </si>
  <si>
    <r>
      <t xml:space="preserve">מחיר ההון / שיעור התשואה הנדרש על ידי בעלי המניות. </t>
    </r>
    <r>
      <rPr>
        <b/>
        <sz val="12"/>
        <color theme="1"/>
        <rFont val="David"/>
      </rPr>
      <t>הנעלם.</t>
    </r>
  </si>
  <si>
    <t>שיעור הצמיחה השנתי בדיבידנד - כאן 4% כנתון.</t>
  </si>
  <si>
    <t>נציב ונגלה:</t>
  </si>
  <si>
    <t>80 = 3/(r-4%)</t>
  </si>
  <si>
    <t>נמשיך בפיתוח ממש קשוח אמאלה:</t>
  </si>
  <si>
    <t>80 * (r - 0.04) = 3</t>
  </si>
  <si>
    <t>עדיין מפחיד נפתח סוגריים או מיי גאד:</t>
  </si>
  <si>
    <t>80r - 0.04*80 = 3</t>
  </si>
  <si>
    <t>80r = 6/2</t>
  </si>
  <si>
    <t>r = 0.775 = 7.75%</t>
  </si>
  <si>
    <t xml:space="preserve">תשובה סופית: שיעור התשואה הנדרש על ידי בעלי המניות בחברה הוא 7.75%. </t>
  </si>
  <si>
    <t>טוב טוב בסדר קשה וארוך הבנתי. אז הנה הגישה המהירה והישירה לפי נוסחה 2:</t>
  </si>
  <si>
    <t>r = g + Div/Ps</t>
  </si>
  <si>
    <t>r = 4% + 3/80 = 0.775 = 7.75%</t>
  </si>
  <si>
    <t>שאלה 3 - חישוב מחיר מניה כשהדיבידנד הבא קרוב ״תחילת תקופה״</t>
  </si>
  <si>
    <t xml:space="preserve">בחברת ״פרופסור מנוס״ 100 מיליון מניות. היא משלמת דיבידנד בסכום של 2 ש״ח למניה בתום כל שנה. </t>
  </si>
  <si>
    <t xml:space="preserve">הדיבידנד הבא צפוי להתבצע בעוד מספר ימים. שיעור התשואה הנדרש על המניה הוא 10%. </t>
  </si>
  <si>
    <t>א. העריכו את מחיר המניה היום בשוק.</t>
  </si>
  <si>
    <t>ב. בהנתן תשובתכם בסעיף הקודם, מהו שווי השוק של החברה?</t>
  </si>
  <si>
    <t>נוסחה 1 - לתמחור מניה:</t>
  </si>
  <si>
    <t>מחיר המניה - נדרש לחשב.</t>
  </si>
  <si>
    <t xml:space="preserve">הדיבידנד העתידי הקרוב ביותר. כאן, סכומו 2 ש״ח - נתון. </t>
  </si>
  <si>
    <t>מחיר ההון / שיעור התשואה הנדרש על ידי בעלי המניות. כאן נתון - 10%.</t>
  </si>
  <si>
    <t>שיעור הצמיחה השנתי בדיבידנד - כאן 0% משום שהדיבידנד השנתי קבוע.</t>
  </si>
  <si>
    <t xml:space="preserve">אלא שנוסחה זו מניחה בהגדרה שהדיבידנד העתידי הקרוב הוא בעוד תקופת תשלום אחת (בעוד שנה אחת). </t>
  </si>
  <si>
    <t>כאן אלו אינם פני הדברים; בהקשר זה, אם הדיבידנד הבא צפוי בעוד ״מספר ימים״ המשמעות מבחינתנו</t>
  </si>
  <si>
    <t>הפרשנית היא שהדיבידנד העתידי הבא ״קרוב מאד״ ובהתאם בזמן אפס.</t>
  </si>
  <si>
    <t>והואיל והיוון סדרתי מוביל תמיד ״אחת אחורה״ הנקודה אליה הגענו היא 1- כלומר תמחרנו את המניה</t>
  </si>
  <si>
    <t xml:space="preserve">היסטורית ולא נכון להיום. </t>
  </si>
  <si>
    <t>Ps (-1) = 2/10% = 20</t>
  </si>
  <si>
    <t>... Forever</t>
  </si>
  <si>
    <t>Ps (-1) = 20</t>
  </si>
  <si>
    <t>2 / 10% = 20</t>
  </si>
  <si>
    <t>את העיוות הזה ניתן לפתור באחת מבין שתי טכניקות שקולות.</t>
  </si>
  <si>
    <t xml:space="preserve">טכניקה א (המועדפת עליי): מכפלה פשוטה של התוצאה באחת ועוד מחיר ההון. </t>
  </si>
  <si>
    <t>Ps (0) = Ps (-1) * (1 + r) = 20 * (1 + 10%) = 22</t>
  </si>
  <si>
    <t xml:space="preserve">טכניקה ב (אפשרית אך פחות אהובה אישית עליי): נתייחס לתמחיר דיבידנדים מזמן 1 ואילך, </t>
  </si>
  <si>
    <t>ונוסיף בנפרד ידנית את הדיבידנד בזמן אפס, כדלקמן:</t>
  </si>
  <si>
    <t>Ps (0) = 20+2 = 22</t>
  </si>
  <si>
    <t>2/10% = 20</t>
  </si>
  <si>
    <t xml:space="preserve">ולכן מחיר המניה 22 ש״ח. תשובתנו הסופית לסעיף א. </t>
  </si>
  <si>
    <t>פתרון סעיף ב - שווי השוק של החברה (היגיון בריא)</t>
  </si>
  <si>
    <t>שווי השוק הכולל של החברה הוא השווי המצרפי של מניותיה. במלים אחרות, אם מחיר המניה ידוע ומספר</t>
  </si>
  <si>
    <t xml:space="preserve">Market Cap = 22 * 100,000,000 = </t>
  </si>
  <si>
    <t>ובמלים: שווי השוק של החברה הנו 2.2 מיליארד ש״ח.</t>
  </si>
  <si>
    <t>שאלה 4 - תרגול נוסף של תמחור מניה כאשר תשואת הדיבידנד ידועה</t>
  </si>
  <si>
    <t>בחברת יואבי השמנמן ידוע כי הדיבידנד השנתי שחולק לבעלי המניות הוא 2 ש״ח למניה.</t>
  </si>
  <si>
    <t xml:space="preserve">דיבידנד זה משקף תשואת דיבידנד של 5%. </t>
  </si>
  <si>
    <t>ב. בהנחה שהדיבידנד השנתי צומח בשיעור 3%, מהי הערכתכם לגבי מחיר ההון העצמי של החברה, קרי התשואה</t>
  </si>
  <si>
    <t>הנדרשת על ידי בעלי המניות (הדרכה: הניחו כי מחיר המניה בשוק זהה לזה שחושב בסעיף א)?</t>
  </si>
  <si>
    <t>פתרון סעיף א - תזכורת לגבי משמעות תשואת הדיבידנד ונוסחה 4</t>
  </si>
  <si>
    <t>מחיר המניה, הערך שעלינו לחשב.</t>
  </si>
  <si>
    <t>תשואת הדיבידנד, שבמקרה זה נתונה.</t>
  </si>
  <si>
    <t>הבעיה היא שבנתוני השאלה עצמה לא נתון שיעור צמיחת הדיבידנד ולכן לא ניתן לדעת מהו הדיבידנד הבא. חשוב</t>
  </si>
  <si>
    <t>לשים לב ששיעור הצמיחה בסעיף ב הוא נתון נפרד, ולא ניתן להשתמש בו לטובת פתרון סעיף א. ובכן, מה נעשה?</t>
  </si>
  <si>
    <t>נשתמש בברירת מחדל הגיונית: אם אין שום דרך להעריך את הדיבידנד הצפוי, נשתמש בדיבידנד ההיסטורי העדכני</t>
  </si>
  <si>
    <t>ביותר שקיים. כך נקבל בקלות:</t>
  </si>
  <si>
    <t>5% = 2/PS</t>
  </si>
  <si>
    <t>Ps = 2/0.05 = 40</t>
  </si>
  <si>
    <t xml:space="preserve">ולכן מחיר המניה הוא 40 ש״ח. זהו פתרוננו לסעיף א. </t>
  </si>
  <si>
    <t>פתרון סעיף ב - חילוץ מחיר ההון העצמי של החברה</t>
  </si>
  <si>
    <t>מחיר המניה - חושב בסעיף א בסכום של 40 ש״ח.</t>
  </si>
  <si>
    <t xml:space="preserve">הדיבידנד העתידי הקרוב ביותר. הדיבידנד ההיסטורי 2 ש״ח, שיעור הצמיחה </t>
  </si>
  <si>
    <t>הנו 3% ולכן אך הגיוני שהדיבידנד העתידי הקרוב הוא:</t>
  </si>
  <si>
    <t>שיעור הצמיחה השנתי בדיבידנד - כאן 3% כנתון.</t>
  </si>
  <si>
    <t>40 * (r - 0.03) = 2.06</t>
  </si>
  <si>
    <t>40r - 0.03*40 = 2.06</t>
  </si>
  <si>
    <t>40r = 3.26</t>
  </si>
  <si>
    <t>r = 0.0815 = 8.15%</t>
  </si>
  <si>
    <t xml:space="preserve">תשובה סופית: שיעור התשואה הנדרש על ידי בעלי המניות בחברה הוא 8.15%. </t>
  </si>
  <si>
    <t>שאלה 5 - דיבידנדים משתנים שלא לפי שיעור צמיחה קבוע</t>
  </si>
  <si>
    <t xml:space="preserve">קונור מגרגור מחזיק במניות חברת Proper 12 ומצפה לקבל דיבידנד בסכום של 30 ש״ח בשנה הבאה, 45 ש״ח </t>
  </si>
  <si>
    <t>בעוד שנתיים ו-60 ש״ח בעוד 3 שנים. משם והלאה, הדיבידנד צפוי לצמוח בשיעור של 4% לשנה. מהו המחיר</t>
  </si>
  <si>
    <t xml:space="preserve">המינימלי שבו יסכים קונור למכור את המניה, אם שיעור התשואה המינימלי הנדרש על נכס ברמת סיכון </t>
  </si>
  <si>
    <t>זהה הנו 10%?</t>
  </si>
  <si>
    <t>תזרים דיבידנד</t>
  </si>
  <si>
    <r>
      <t xml:space="preserve">מיד </t>
    </r>
    <r>
      <rPr>
        <u/>
        <sz val="12"/>
        <color theme="1"/>
        <rFont val="David"/>
      </rPr>
      <t>לאחר</t>
    </r>
    <r>
      <rPr>
        <sz val="12"/>
        <color theme="1"/>
        <rFont val="David"/>
      </rPr>
      <t xml:space="preserve"> מועד זה הצמיחה קבועה</t>
    </r>
  </si>
  <si>
    <t>התהליך לפתרון הוא כדלקמן:</t>
  </si>
  <si>
    <t>הדיבידנדים שאינם כוללים צמיחה קבועה - יהוונו כרגיל, כלומר באמצעות נוסחת NPV (לא ניתן באמצעות PV</t>
  </si>
  <si>
    <t xml:space="preserve">כי סכומם משתנה, כאילו דה). זה אומר שניישם NPV על התזרימים של זמן 1 ו-2. </t>
  </si>
  <si>
    <r>
      <t xml:space="preserve">לגבי התזרים של זמן 3. ההגדרה אומרת, שהחל מהדיבידנד שמיד </t>
    </r>
    <r>
      <rPr>
        <b/>
        <sz val="12"/>
        <color theme="1"/>
        <rFont val="David"/>
      </rPr>
      <t>אחריו</t>
    </r>
    <r>
      <rPr>
        <sz val="12"/>
        <color theme="1"/>
        <rFont val="David"/>
      </rPr>
      <t xml:space="preserve"> הצמיחה קבועה, ניתן ליישם את מודל גורדון.</t>
    </r>
  </si>
  <si>
    <t>הואיל ומיד לאחר הדיבידנד שסכומו 60 ש״ח מתקבעת הצמיחה הקבועה בשיעור 4%, ניתן ליישם את נוסחה 1</t>
  </si>
  <si>
    <t>על הדיבידנד של זמן 3, ונקבל:</t>
  </si>
  <si>
    <t xml:space="preserve">Ps = 60/(10% - 4%) = </t>
  </si>
  <si>
    <t>אלא שתמחיר זה מהווה היוון סדרה שמופע תזרימה הראשון בזמן 3. יש לזכור שהיוון סדרה גם אם היא צומחת</t>
  </si>
  <si>
    <t>מוביל תמיד לנקודת הזמן שהיא ״אחת אחורה״ ביחס למועד ביצועה, משכך, ההיוון של זמן 3 ואילך מוביל לזמן 2,</t>
  </si>
  <si>
    <t xml:space="preserve">ולכן יש להתאים את תוצאת ה - Ps שקיבלנו באמצעות יישום נוסחת ההיוון שנתיים נוספות לאחור. </t>
  </si>
  <si>
    <t>לכן, לאחר הבנה זו, יוצג הסכום המצרפי של התזרים כך:</t>
  </si>
  <si>
    <t>גילום</t>
  </si>
  <si>
    <t>תזרימי</t>
  </si>
  <si>
    <t>זמן 3 ואילך</t>
  </si>
  <si>
    <t>לפי נוסחה</t>
  </si>
  <si>
    <t>מגולם כבר</t>
  </si>
  <si>
    <t>ועכשיו כל מה שצריך זה להריץ נוסחת היוון npv בהתאם למחיר הון של 10% על עמודת הסה״כ. נקבל:</t>
  </si>
  <si>
    <t>והמשמעות: שווי המניה הוא 890.81 ש״ח. סופי.</t>
  </si>
  <si>
    <t>שאלה 6 - שיעור צמיחת דיבידנד</t>
  </si>
  <si>
    <t xml:space="preserve">חברת ״אחוות טריפולי״ בע״מ צפויה לשלם דיבידנד בסכום של 2 ש״ח למניה בשנה הבאה. </t>
  </si>
  <si>
    <t xml:space="preserve">שיעור התשואה הנדרש על המניה הוא 5% והמניה נסחרת כעת במחיר של 50 ש״ח. </t>
  </si>
  <si>
    <t>מהי הערכת השוק לגבי שיעור הצמיחה השנתי בדיבידנדים?</t>
  </si>
  <si>
    <t>דרך המלך - הצבה בנוסחה 1 וחילוץ נעלם:</t>
  </si>
  <si>
    <t>50 = 2/(5% - g)</t>
  </si>
  <si>
    <t>50 * (5% - g) = 2</t>
  </si>
  <si>
    <t>2.5 - 50g = 2</t>
  </si>
  <si>
    <t>50g = 0.5</t>
  </si>
  <si>
    <t>g = 1%</t>
  </si>
  <si>
    <t>ולכן שיעור הצמיחה השנתי 1%.</t>
  </si>
  <si>
    <t>דרך מהירה - הצבה בנוסחה 3 שרלוונטית ספציפית למצב זה:</t>
  </si>
  <si>
    <t>g = r - Div/Ps = 5% - 2/50 = 5% - 4% = 1%</t>
  </si>
  <si>
    <t>שאלה 7 - תמחור מניה בשוק</t>
  </si>
  <si>
    <t>חברת ״סתיו והאקססוריז - כל מה שאתה צריך לבית״ בע״מ צפויה לשלם את הדיבידנד השנתי בסכום של 2 ש״ח</t>
  </si>
  <si>
    <t>בעוד מספר ימים. שיעור התשואה הנדרש על המניה הוא 10% והדיבידנד צפוי לצמוח בשיעור 5% לשנה.</t>
  </si>
  <si>
    <t>מהי הערכתכם לגבי מחיר המניה בשוק.</t>
  </si>
  <si>
    <t>שאלה זו מאד דומה לשאלה 3 ולכן אם הפתרון לא מובן, חזרו בבקשה על הפתרון המפורט והסופר מושקע לשאלה 3</t>
  </si>
  <si>
    <t>שגם נסקר בכיתה לפני שתחזרו להתמודד עם שאלה זו.</t>
  </si>
  <si>
    <t xml:space="preserve">ככלל: הואיל והדיבידנד הבא הוא בעוד ״מספר ימים״ מתייחסים לתזרימי הדיבידנד כאל תחילת תקופתיים, </t>
  </si>
  <si>
    <t>קרי הדיבידנד העתידי הקרוב ביותר הוא בזמן אפס, ולכן ההיוון שמוביל ״אחת אחורה״ יוצר עיוותים הניתנים</t>
  </si>
  <si>
    <t>לטיפול באחת משתי דרכים:</t>
  </si>
  <si>
    <r>
      <t xml:space="preserve">דרך א: היוון ״כרגיל״ בנוסחה 1 ודחיפת התוצאה תקופה אחת קדימה - </t>
    </r>
    <r>
      <rPr>
        <b/>
        <sz val="12"/>
        <color theme="1"/>
        <rFont val="David"/>
      </rPr>
      <t>הדרך המועדפת על שי</t>
    </r>
    <r>
      <rPr>
        <sz val="12"/>
        <color theme="1"/>
        <rFont val="David"/>
      </rPr>
      <t>:</t>
    </r>
  </si>
  <si>
    <t xml:space="preserve">2/(10% - 5%) * (1 + 10%) = </t>
  </si>
  <si>
    <t>דרך ב: חישוב הדיבידנד לזמן 1, שהוא הדיבידנד בזמן 0 בתוספת הצמיחה עליו, כלומר 2.1 = 1.05 * 2</t>
  </si>
  <si>
    <t>ולהוונו בנוסחה, ואז להוסיף ״ידנית״ את הדיבידנד של זמן 0:</t>
  </si>
  <si>
    <t xml:space="preserve">2.1/(10% - 5%) + 2 = </t>
  </si>
  <si>
    <t>כך או אחרת, מחיר המניה הוא 44 ש״ח.</t>
  </si>
  <si>
    <t>יובל שיבז היא חברה שיש בה 1,000,000 מניות. הרווח הנקי בחברה בשנה שחלפה הוא 5,000,000 ש״ח.</t>
  </si>
  <si>
    <t>בהנחה שידוע שהמכפיל הוא 8, מהו מחיר המניה היום?</t>
  </si>
  <si>
    <t>PE = Ps / EPS</t>
  </si>
  <si>
    <t>המכפיל (מכפיל הרווח)</t>
  </si>
  <si>
    <t>מחיר המניה העדכני</t>
  </si>
  <si>
    <t>הרווח למניה</t>
  </si>
  <si>
    <t>המשוואה:</t>
  </si>
  <si>
    <r>
      <t xml:space="preserve">8 = Ps / </t>
    </r>
    <r>
      <rPr>
        <sz val="12"/>
        <color rgb="FFFF0000"/>
        <rFont val="David"/>
      </rPr>
      <t>5</t>
    </r>
  </si>
  <si>
    <t>5 * 8 = Ps</t>
  </si>
  <si>
    <t>Ps = 40</t>
  </si>
  <si>
    <r>
      <t xml:space="preserve">הסבר - מניין EPS? ובכן, לאור העובדה שהרווח למניה הוא בהגדרה </t>
    </r>
    <r>
      <rPr>
        <u/>
        <sz val="12"/>
        <color theme="1"/>
        <rFont val="David"/>
      </rPr>
      <t>הרווח</t>
    </r>
    <r>
      <rPr>
        <sz val="12"/>
        <color theme="1"/>
        <rFont val="David"/>
      </rPr>
      <t xml:space="preserve"> חלקי </t>
    </r>
    <r>
      <rPr>
        <u/>
        <sz val="12"/>
        <color theme="1"/>
        <rFont val="David"/>
      </rPr>
      <t>מספר מניות</t>
    </r>
    <r>
      <rPr>
        <sz val="12"/>
        <color theme="1"/>
        <rFont val="David"/>
      </rPr>
      <t>, הרי שניתן לחשבו כך:</t>
    </r>
  </si>
  <si>
    <r>
      <t xml:space="preserve">EPS = 5,000,000 / 1,000,000 = </t>
    </r>
    <r>
      <rPr>
        <sz val="12"/>
        <color rgb="FFFF0000"/>
        <rFont val="David"/>
      </rPr>
      <t>5</t>
    </r>
  </si>
  <si>
    <t xml:space="preserve">מוריה עורקבי משלמת דיבידנד כל שנה באופן קבוע (without missing a beat). </t>
  </si>
  <si>
    <r>
      <t xml:space="preserve">הדיבידנד </t>
    </r>
    <r>
      <rPr>
        <u/>
        <sz val="12"/>
        <color rgb="FFFF0000"/>
        <rFont val="David"/>
      </rPr>
      <t>חולק לאחרונה</t>
    </r>
    <r>
      <rPr>
        <sz val="12"/>
        <color theme="1"/>
        <rFont val="David"/>
      </rPr>
      <t xml:space="preserve"> לפני שנה </t>
    </r>
    <r>
      <rPr>
        <u/>
        <sz val="12"/>
        <color theme="1"/>
        <rFont val="David"/>
      </rPr>
      <t>בסכום של</t>
    </r>
    <r>
      <rPr>
        <sz val="12"/>
        <color theme="1"/>
        <rFont val="David"/>
      </rPr>
      <t xml:space="preserve"> 10 ש״ח, והוא צומח בשיעור קבוע של 4%. </t>
    </r>
  </si>
  <si>
    <t>בהנחה שמחיר ההון העצמי הוא 14% לשנה, מהו שווי המניה היום?</t>
  </si>
  <si>
    <t xml:space="preserve">אם מציינים בפניי שהדיבידנד חולק לאחרונה לפני שנה - המשמעות היא שהדיבידנד העתידי הקרוב הוא בזמן 0. </t>
  </si>
  <si>
    <t xml:space="preserve">אם מציינים בפניי שהדיבידנד חולק לאחרונה אתמול - המשמעות היא שהדיבידנד העתידי הקרוב הוא בעוד שנה (1). </t>
  </si>
  <si>
    <t xml:space="preserve">כאן, כאמור, חולק לאחרונה לפני שנה - הדיבידנד העתידי הקרוב הוא בזמן 0. </t>
  </si>
  <si>
    <t>הדיבידנד לפני שנה היה 10, במהלך השנה שחלפה צומח ב-4%, כך שסכום הדיבידנד בזמן 0:</t>
  </si>
  <si>
    <r>
      <t xml:space="preserve">10 * (1 + 4%) = </t>
    </r>
    <r>
      <rPr>
        <sz val="12"/>
        <color rgb="FF00B050"/>
        <rFont val="David"/>
      </rPr>
      <t>10.4</t>
    </r>
  </si>
  <si>
    <r>
      <t xml:space="preserve">Div = </t>
    </r>
    <r>
      <rPr>
        <b/>
        <sz val="12"/>
        <color rgb="FF00B050"/>
        <rFont val="David"/>
      </rPr>
      <t>10.4</t>
    </r>
  </si>
  <si>
    <t>דיבידנד היסטורי</t>
  </si>
  <si>
    <t>לא חלק מהתמחור כשלעצמו</t>
  </si>
  <si>
    <t>אך עוזר להסיק מהו הדיבידנד העתידי</t>
  </si>
  <si>
    <t>שהוא חלק מהחישוב</t>
  </si>
  <si>
    <t>הנוסחה הבסיסית:</t>
  </si>
  <si>
    <t xml:space="preserve">Ps = Div/(r - g) </t>
  </si>
  <si>
    <t xml:space="preserve">אלא שהואיל והדיבידנד העתידי הקרוב ביותר הוא בזמן 0, הרי שהיוון הסדרה (שאיברה הראשון בזמן 0) מוביל </t>
  </si>
  <si>
    <t>לתוצאה שהיא ״אחת אחורה״ כלומר לזמן 1-. אנו רוצים לבצע התאמת זמן - לזמן אפס, וזאת על ידי מכפלה</t>
  </si>
  <si>
    <t>ב-1 ועוד שיעור הריבית / שיעור התשואה הנדרש על ידי בעלי המניות:</t>
  </si>
  <si>
    <t xml:space="preserve">Ps = [10.4/(14% - 4%)] * (1 + 14%) = </t>
  </si>
  <si>
    <t>אביה ארביב משלמת דיבידנד כל שנה באופן קבוע טוגודו טוגודו.</t>
  </si>
  <si>
    <t xml:space="preserve">הדיבידנד לפני 3 שנים היה 30 ש״ח והדיבידנד הקרוב ישולם בעוד מספר ימים. </t>
  </si>
  <si>
    <t>בהנחה שמחיר ההון העצמי הוא 7% והדיבידנד צומח בשיעור 2% לשנה, מהו שווי המניה היום?</t>
  </si>
  <si>
    <r>
      <t xml:space="preserve">Div = </t>
    </r>
    <r>
      <rPr>
        <sz val="12"/>
        <color rgb="FF00B050"/>
        <rFont val="David"/>
      </rPr>
      <t>31.836</t>
    </r>
  </si>
  <si>
    <t xml:space="preserve">הדיבידנד </t>
  </si>
  <si>
    <t>הקרוב ביותר</t>
  </si>
  <si>
    <t>בעוד ״מספר</t>
  </si>
  <si>
    <t>ימים״ = זמן</t>
  </si>
  <si>
    <t>אפס מבחינתנו</t>
  </si>
  <si>
    <t xml:space="preserve">לכאורה, אינני יודע מהו הדיבידנד הקרוב ביותר (בזמן אפס). אלא שאמרו שלפני 3 שנים הדיבידנד היה 30 ש״ח, </t>
  </si>
  <si>
    <t>והוא צומח בשיעור קבוע של 2% לשנה. זה אומר שב-3 השנים שחלפו:</t>
  </si>
  <si>
    <t>Div0 = Div(-3) * (1 + g)^3</t>
  </si>
  <si>
    <t xml:space="preserve">Div0 = 30 * (1 + 2%)^3 = </t>
  </si>
  <si>
    <t>כעת, אנו יודעים את הדיבידנד העתידי הקרוב, את מחיר ההון 7% ושיעור הצמיחה 2%, נקבל לפי נוסחה 1:</t>
  </si>
  <si>
    <t xml:space="preserve">Ps = [31.836/(7% - 2%)] * (1 + 7%) = </t>
  </si>
  <si>
    <t>כמו תמיד: הואיל והדיבידנד העתידי הקרוב ביותר הוא בזמן אפס, חישוב על פי נוסחה 1 מוביל לזמן 1-, נתקנן</t>
  </si>
  <si>
    <t xml:space="preserve">קדימה על ידי מכפלה ב-1 ועוד הריבית (מחיר ההון / התשואה הנדרשת על ידי בעלי המניות). </t>
  </si>
  <si>
    <t xml:space="preserve">ליאור מבת ים משלם דיבידנד כל שנה באופן קבוע. </t>
  </si>
  <si>
    <t>הדיבידנד שחולק לאחרונה אתמול היה בסכום של 10 ש״ח למניה.</t>
  </si>
  <si>
    <t>הדיבידנד צומח בשיעור קבוע של 2% לשנה, ומחיר ההון העצמי הוא 12%.</t>
  </si>
  <si>
    <t>בהנחה שידוע שהרווח למניה (EPS) הוא 15 ש״ח, מה יהיה מכפיל הרווח בחברה PE?</t>
  </si>
  <si>
    <t>תזכורת בדבר הגדרת מכפיל הרווח PE:</t>
  </si>
  <si>
    <t>PE = Ps/EPS</t>
  </si>
  <si>
    <t>תזכורת:</t>
  </si>
  <si>
    <t>Div = 10.2</t>
  </si>
  <si>
    <t>הדיבידנד</t>
  </si>
  <si>
    <t>אתמול = 10</t>
  </si>
  <si>
    <t>היסטורי ולכן בפני עצמו</t>
  </si>
  <si>
    <t>איננו חלק מהתמחיר</t>
  </si>
  <si>
    <t xml:space="preserve">טיפ: דיבידנד שבוצע בעבר, בין אם לפני שנה, יום או דקה, לעולם לא רלוונטי ואיננו חלק מנוסחת התמחיר. </t>
  </si>
  <si>
    <t>אנו נרצה רק דיבידנד עתידי לצורך תמחור מניות.</t>
  </si>
  <si>
    <t xml:space="preserve">יחד עם זאת, לעתים ניתן להיעזר בדיבידנד ההיסטורי ובשיעור הצמיחה, כדי להסיק מהו הדיבידנד העתידי. </t>
  </si>
  <si>
    <t>והואיל והדיבינד ההיסטורי בסכום 10 ש״ח צומח כנתון בשיעור 2% לשנה, הדיבידנד העתידי - בעוד שנה:</t>
  </si>
  <si>
    <t>10 * (1 + 2%) = 10.2</t>
  </si>
  <si>
    <t xml:space="preserve">Div = </t>
  </si>
  <si>
    <t>וכעת ניתן להיעזר בנוסחה 1 כדי לחשב את מחיר המניה:</t>
  </si>
  <si>
    <t>דיבידנד עתידי קרוב: 10.2</t>
  </si>
  <si>
    <t>מחיר ההון העצמי / התשואה הנדרשת ע״י בעלים: 12%</t>
  </si>
  <si>
    <t>שיעור הצמיחה - נתון: 2%</t>
  </si>
  <si>
    <t xml:space="preserve">Ps = 10.2/(12% - 2%) = </t>
  </si>
  <si>
    <t>נשאלת השאלה, מדוע במקרה זה בשונה מקודמו, לא ביצענו גם מכפלה ב-1 ועוד הריבית 12% כדי להתאים את התוצאה?</t>
  </si>
  <si>
    <t>התשובה: הואיל והדיבידנד העתידי הקרוב הוא בזמן 1, ההיוון הסדרתי מוביל 1 אחורה ביחס לזמן 1, כלומר לזמן 0</t>
  </si>
  <si>
    <t>ללא צורך בהתאמות. זאת בשונה משאלות קודמות שבהן הדיבידנד העתידי הקרוב היה בזמן 0, ואז הדחיפה לאחור</t>
  </si>
  <si>
    <t>הובילה ל-1- ולכן הצריכה התאמה.</t>
  </si>
  <si>
    <t>הערה נוספת: מבחינתנו אלא אם נאמר אחרת, מצב שבו מציינים שהדיבידנד מחולק קבוע כל שנה וחולק לאחרונה אתמול</t>
  </si>
  <si>
    <t>או לפני דקה, או לפני שעה, או לפני מספר ימים - בהגדרה משמעו שהדיבידנד העתידי הקרוב בעוד שנה.</t>
  </si>
  <si>
    <t>כעת, אני מצויד במחיר המניה Ps, הרווח למניה EPS נתון מפורשות בשאלה כ-15 ש״ח, נחזור לנוסחת PE מכפיל</t>
  </si>
  <si>
    <t>הרווח ונקבל:</t>
  </si>
  <si>
    <t>תשובה סופית - מכפיל.</t>
  </si>
  <si>
    <t xml:space="preserve">PE = 102/15 = </t>
  </si>
  <si>
    <t>מניית רום צפויה לשלם דיבידנד כל שנה באופן קבוע אך הדיבידנד הראשון ישולם בעוד 5 שנים.</t>
  </si>
  <si>
    <t>בהנחה שסכומו של דיבידנד זה הוא 7 ש״ח, שמחיר ההון 10% ושיעור צמיחת הדיבידנד לאחר השנה ה-5 הוא</t>
  </si>
  <si>
    <t>בשיעור של 2.5% לשנה, מה יהיה מחיר המניה היום?</t>
  </si>
  <si>
    <t>6... Forever</t>
  </si>
  <si>
    <t>Div = 7</t>
  </si>
  <si>
    <t>Ps = ?</t>
  </si>
  <si>
    <t>g = 2.5%</t>
  </si>
  <si>
    <t>r = 10%</t>
  </si>
  <si>
    <t>תזכורת לגבי נוסחת תמחור מניה:</t>
  </si>
  <si>
    <t>Div/(r-g)</t>
  </si>
  <si>
    <t xml:space="preserve">Ps = </t>
  </si>
  <si>
    <t>זכרו: הנוסחה מובילה תמיד לנקודת הזמן שהיא ״אחת אחורה״ ביחס לתזרים הראשון. במידה ונקודה זו שונה מנקודת</t>
  </si>
  <si>
    <t xml:space="preserve">התמחיר, עליכם לבצע התאמה נוספת. </t>
  </si>
  <si>
    <t xml:space="preserve">7/(10% - 2.5%) * (1 + 10%)^(-4) = </t>
  </si>
  <si>
    <t xml:space="preserve">התאמת ערכים קדימה </t>
  </si>
  <si>
    <t>הואיל והדיבידנד העתידי הקרוב</t>
  </si>
  <si>
    <t xml:space="preserve">על ציר הזמן: מכפלה ב-1 </t>
  </si>
  <si>
    <t>הוא בזמן 5, ההיוון שתמיד מוביל אחת אחורה</t>
  </si>
  <si>
    <t>ועוד הריבית בחזקה חיובית</t>
  </si>
  <si>
    <t xml:space="preserve">יוצר את מחיר המניה לזמן 4. </t>
  </si>
  <si>
    <t>התאמה אחורה על ציר</t>
  </si>
  <si>
    <t>לכן עלינו לבצע התאמה נוספת מ-4 ל-0</t>
  </si>
  <si>
    <t>הזמן: מכפלה ב-1 ועוד הריבית</t>
  </si>
  <si>
    <t>בחזקה שלילית</t>
  </si>
  <si>
    <t>מניית דניאל צפויה לשלם דיבידנד בסך 8 ש״ח בעוד שנה, 12 ש״ח בעוד שנתיים, 28 ש״ח בעוד 3 שנים, 78 ש״ח בעוד</t>
  </si>
  <si>
    <t>כ-4 שנים, 95 ש״ח בעוד 5 שנים, ולאחר מכן שיעור הצמיחה יתקבע ויהפוך ל-4%. בהנחה שמחיר ההון העצמי הוא</t>
  </si>
  <si>
    <t>בשיעור של 6% לשנה, מה יהיה מחיר המניה היום?</t>
  </si>
  <si>
    <t>מדובר בדיבידנד בסכומים משתנים. נבנה טבלה, נציב בה את כל התזרימים, ונעצור בתזרים שאחריו הצמיחה קבועה.</t>
  </si>
  <si>
    <t xml:space="preserve">בשלב זה, נחשב לפי נוסחה 1 את ה - Ps הנובע מדיבידנד זה ואילך, ואת התוצאה נחבר יחד עם התזרים האחרון </t>
  </si>
  <si>
    <t>המשתנה כדי להשתמש ב - NPV ולתמחר את המניה. נשמע מסורבל? הגיוני. עיינו בבקשה בפתרון המלא לשאלה 5</t>
  </si>
  <si>
    <t>שהוצג בשורה 297 ואילך והוסבר בהקלטה, ואחר כך חזרו לכאן במידה ומסתבך. בכל מקרה, הנה התהליך:</t>
  </si>
  <si>
    <t>תזרימי 5</t>
  </si>
  <si>
    <t>ואילך במונחי</t>
  </si>
  <si>
    <t>זמן 4</t>
  </si>
  <si>
    <t>מגולם</t>
  </si>
  <si>
    <t>מחיר המניה יחושב עם פונקציית npv</t>
  </si>
  <si>
    <t>הסבר לגבי 4,750: התזרים בזמן 5 הוא התזרים שאחריו הצמיחה קבועה. לכן אליו מתייחסים בתור ה - Div של נוסחה</t>
  </si>
  <si>
    <t>מס׳ 1. מיישמים ומקבלים לגביו:</t>
  </si>
  <si>
    <r>
      <t xml:space="preserve">Ps = Div/(r - g) = 95/(6% - 4%) = </t>
    </r>
    <r>
      <rPr>
        <sz val="12"/>
        <color rgb="FFFF0000"/>
        <rFont val="David"/>
      </rPr>
      <t>4,750</t>
    </r>
  </si>
  <si>
    <t>ערך זה נכון לזמן 4, משום שכל היוון סדרתי מוביל ״אחת אחורה״ ביחס לתזרים הראשון, וכאן מהוונים סדרה שהחלה</t>
  </si>
  <si>
    <t xml:space="preserve">בזמן 5. </t>
  </si>
  <si>
    <t>רוצים עוד שאלות עם פתרון מלא מטורף לחזרה ולהתקדמות? הנה!!!</t>
  </si>
  <si>
    <t xml:space="preserve">שאלה 1 - חישוב פשוט של שווי מניה </t>
  </si>
  <si>
    <t>הקבלה ל: תרגיל 3 בתרגיל הבית</t>
  </si>
  <si>
    <r>
      <t xml:space="preserve">בחברה יש 1,000 מניות. החברה משלמת </t>
    </r>
    <r>
      <rPr>
        <sz val="12"/>
        <color rgb="FFFF0000"/>
        <rFont val="David"/>
      </rPr>
      <t>דיבידנד של 1 ש״ח למניה</t>
    </r>
    <r>
      <rPr>
        <sz val="12"/>
        <color theme="1"/>
        <rFont val="David"/>
      </rPr>
      <t xml:space="preserve"> בסוף כל שנה. שיעור התשואה הנדרש</t>
    </r>
  </si>
  <si>
    <r>
      <t xml:space="preserve">על ידי בעלי המניות הוא </t>
    </r>
    <r>
      <rPr>
        <sz val="12"/>
        <color rgb="FFFF0000"/>
        <rFont val="David"/>
      </rPr>
      <t>5% לשנה</t>
    </r>
    <r>
      <rPr>
        <sz val="12"/>
        <color theme="1"/>
        <rFont val="David"/>
      </rPr>
      <t xml:space="preserve">. </t>
    </r>
  </si>
  <si>
    <t>א. מהו מחיר המניה בשוק היום? מהו שווי החברה היום?</t>
  </si>
  <si>
    <t xml:space="preserve">ב. כיצד תשתנה תשובתכם, אם הדיבידנד הקרוב צפוי מחר (לדידנו = מחר ו״בעוד מספר ימים״ = זהה). </t>
  </si>
  <si>
    <t>שאלה 1 - חישוב פשוט של שווי מניה  - פתרון</t>
  </si>
  <si>
    <t>סעיף א - תזרימי ״תום תקופה״:</t>
  </si>
  <si>
    <t>בהיעדר נתונים בדבר שיעור הצמיחה, יש להניח שהוא אפס</t>
  </si>
  <si>
    <t>div</t>
  </si>
  <si>
    <t>מחיר המניה:</t>
  </si>
  <si>
    <t xml:space="preserve">PS = </t>
  </si>
  <si>
    <t>מס׳ המניות:</t>
  </si>
  <si>
    <t xml:space="preserve">number of shares = </t>
  </si>
  <si>
    <t>שווי החברה הכולל - מספר המניות כפול המחיר למניה:</t>
  </si>
  <si>
    <t xml:space="preserve">market cap = </t>
  </si>
  <si>
    <t>סעיף ב - תזרימי ״תחילת תקופה״</t>
  </si>
  <si>
    <t xml:space="preserve">כאשר מציינים בפנינו שהדיבידנד הקרוב יתקבל ״מחר״ או ״בעוד מספר ימים״ (לא בעוד שנה), נתייחס לתזרימי </t>
  </si>
  <si>
    <t>הדיבידנד כאל תזרימי תחילת תקופה (אשר הראשון שבהם בזמן אפס). מצב שכזה גם יוביל לצורך בהתאמה</t>
  </si>
  <si>
    <t>מסויימת של החישוב.</t>
  </si>
  <si>
    <t>הואיל וערך נוכחי סדרתי מוביל תמיד ״אחת אחורה״ ביחס למועד התזרים הראשון בסדרה, אזי:</t>
  </si>
  <si>
    <t>אם הסדרה מתחילה בתום תקופה (בזמן 1) כמו בסעיף הקודם - נקפוץ אוטומטית אחורה לזמן אפס - והתוצאה דבש.</t>
  </si>
  <si>
    <t>אם הסדרה מתחילה בתחילת תקופה (בזמן אפס) כמו בסעיף הזה - קופצים אחת אחורה ל״מינוס אחת״ וצריך התאמה.</t>
  </si>
  <si>
    <t>נוסחה סטנדרטית ל״תום תקופה״</t>
  </si>
  <si>
    <t>נוסחאות למצב של ״תחילת תקופה״</t>
  </si>
  <si>
    <t>אמרו שהדיבידנד הקרוב ״קרוב מאד״ (מחר) לכן מוגדר כ - div0</t>
  </si>
  <si>
    <t>div(0)</t>
  </si>
  <si>
    <t>דרך א: נוסחה רגילה והתאמתה</t>
  </si>
  <si>
    <t>דרך ב - התייחסות לדיבידנד של זמן 0 בנפרד:</t>
  </si>
  <si>
    <t>(*)</t>
  </si>
  <si>
    <t>שווי החברה הכולל:</t>
  </si>
  <si>
    <t>שימו לב (*)! לא תמיד div0=div1. כאן ספציפית זה נכון - כי הדיבידנד לא צומח (g=0%).</t>
  </si>
  <si>
    <t xml:space="preserve">שאלה 2 - חילוץ שיעור צמיחה כשמחיר המניה נתון </t>
  </si>
  <si>
    <t>הקבלה ל: תרגיל 2 בתרגיל הבית</t>
  </si>
  <si>
    <t>מניה של חברה נסחרת היום במחיר 100 ש״ח. הדיבידנד הבא, בסך 10 ש״ח למניה, צפוי להתקבל בעוד שנה.</t>
  </si>
  <si>
    <t xml:space="preserve">שיעור הצמיחה הקבוע הוא 2% לשנה. </t>
  </si>
  <si>
    <t>נדרש: מהו שיעור התשואה הנדרש על ידי בעלי המניות של החברה?</t>
  </si>
  <si>
    <t>נוסחה 2 - חישוב תשואה נדרשת ע״י בעלי המניות:</t>
  </si>
  <si>
    <t>שאלה 2 - חילוץ שיעור צמיחה כשמחיר המניה נתון - פתרון</t>
  </si>
  <si>
    <t>נתון מפורשות: שיעור הצמיחה 2%</t>
  </si>
  <si>
    <t>הדיבידנד העתידי הקרוב ביותר (יתקבל עוד שנה)</t>
  </si>
  <si>
    <t>מחיר המניה בנקודת התמחור (היום)</t>
  </si>
  <si>
    <t xml:space="preserve">r = </t>
  </si>
  <si>
    <t>בנוסחה 2 נשתמש רק כאשר השאלה ״פשוטה״ - דיבידנד בסוף שנה (לא בתחילת שנה) בלי שינויים מיוחדים שנציג</t>
  </si>
  <si>
    <t xml:space="preserve">בהמשך. </t>
  </si>
  <si>
    <t>שאלה 3 - מחיר מניה</t>
  </si>
  <si>
    <t>הקבלה ל: תרגיל 1א בתרגיל הבית</t>
  </si>
  <si>
    <t>חברה שילמה אתמול דיבידנד בסך 70 אגורות למניה, והיא צופה לשלם דיבידנד בסכום של 77 אגורות למניה</t>
  </si>
  <si>
    <t>בשנה הבאה. הדיבידנד צמח בשנים האחרונות בשיעור 10% לשנה והוא צפוי לצמוח בשיעור זה גם בעתיד.</t>
  </si>
  <si>
    <t xml:space="preserve">שיעור התשואה הנדרש על ידי בעלי המניות הוא 15%. </t>
  </si>
  <si>
    <t>נדרש: מהו מחיר המניה בשוק היום?</t>
  </si>
  <si>
    <t>כינוי</t>
  </si>
  <si>
    <t>שנה</t>
  </si>
  <si>
    <t>ש״ח</t>
  </si>
  <si>
    <t>לא רלוונטי</t>
  </si>
  <si>
    <t>אתמול</t>
  </si>
  <si>
    <t>div1</t>
  </si>
  <si>
    <t>הטריק: כל דיבידנד היסטורי - בין אם שולם לפני שנה, לפני חודשיים, אתמול או לפני דקה - לא יהווה חלק מהתזרימים</t>
  </si>
  <si>
    <t>המשמשים לתמחור המניה - לא רלוונטי.</t>
  </si>
  <si>
    <t>תמיד ולעולם תמחור נכסים לנקודת זמן מסויימת יישען על התזרימים העתידיים שינבעו לידי המשקיע מאותה נקודת</t>
  </si>
  <si>
    <t>זמן ואילך (לא לאחור!!!).</t>
  </si>
  <si>
    <t xml:space="preserve">DIV1 = </t>
  </si>
  <si>
    <t xml:space="preserve">g = </t>
  </si>
  <si>
    <t>שאלה 4 - חישוב מחיר מניה כשתזרימי הדיבידנד משתנים</t>
  </si>
  <si>
    <t>הקבלה ל: תרגיל 5 בתרגיל הבית</t>
  </si>
  <si>
    <t xml:space="preserve">מניה צפויה לשלם דיבידנד בסך 20 ש״ח בשנה הבאה, 30 ש״ח בעוד שנתיים, 35 ש״ח בעוד 3 שנים, ומשם ואילך </t>
  </si>
  <si>
    <t>הדיבידנד צפוי לצמוח בשיעור 5% לשנה. מהו שווי המניה, בהנחה ששיעור התשואה הנדרש על ידי המשקיעים</t>
  </si>
  <si>
    <t>במניות החברה הוא 15%?</t>
  </si>
  <si>
    <t>שאלה 4 - חישוב מחיר מניה כשתזרימי הדיבידנד משתנים - פתרון</t>
  </si>
  <si>
    <t>דיבידנד</t>
  </si>
  <si>
    <t>g =</t>
  </si>
  <si>
    <t>מ-3 ואילך זוהי סדרה</t>
  </si>
  <si>
    <t>הצומחת בשיעור קבוע</t>
  </si>
  <si>
    <t>g = 5%</t>
  </si>
  <si>
    <t>של 5%</t>
  </si>
  <si>
    <t>ולגביה נפעיל נוסחה 1</t>
  </si>
  <si>
    <t>צמיחה לעד</t>
  </si>
  <si>
    <t>אפשר להבחין בכך ששיעור הצמיחה בדיבידנד (אחוז השינוי בסכומו) בין שנים איננו קבוע.</t>
  </si>
  <si>
    <t>כלומר - מדיבידנד 1 לדיבידנד 2 יש עליה של 50% (מ-20 ל-30), מדיבידנד 2 לדיבידנד 3 יש עלייה של כ-16% (מ-30 ל-35)</t>
  </si>
  <si>
    <t>ורק לאחר זמן 3 - שיעור צמיחת הדיבידנד ״מתקבע״.</t>
  </si>
  <si>
    <t>דרך הפתרון תכלול התייחסות לדיבידנד הראשון שאחריו הצמיחה קבועה (הדיבידנד של זמן 3) בתור הביטוי שיחושב</t>
  </si>
  <si>
    <t>על בסיס נוסחה 1 ״כרגיל״, בעוד שיתר הדיבידנדים (דיבידנד 1, דיבידנד 2) יהוונו ״ידנית״ בנפרד, ומיד נראה איך:</t>
  </si>
  <si>
    <t>התוצאה משקפת את הערך המהוון לזמן 2 של התזרימים מזמן 3 ואילך (הצהובים).</t>
  </si>
  <si>
    <t>שווי לזמן 2 של דיבידנדים מזמן 3 והלאה</t>
  </si>
  <si>
    <t>דיבידנד נוסף בזמן 1</t>
  </si>
  <si>
    <t>שווי כולל בזמן 2, כולל דיב׳ נוסף בזמן 2</t>
  </si>
  <si>
    <t>היוון הדיבידנד הראשון</t>
  </si>
  <si>
    <t>היוון התוצאה 2 תקופות לאחור בגישה מתמטית</t>
  </si>
  <si>
    <t>תקופה אחת לאחור</t>
  </si>
  <si>
    <t>בהינתן תשואה נדרשת של 15%</t>
  </si>
  <si>
    <t>בריבית 15%</t>
  </si>
  <si>
    <t>שאלה 5 - חישוב שיעור הצמיחה השנתי הצפוי</t>
  </si>
  <si>
    <t>הקבלה ל: תרגיל 6 בתרגיל הבית</t>
  </si>
  <si>
    <t>חברה צפויה לשלם דיבידנד בסכום של 2 ש״ח למניה בשנה הבאה. שיעור התשואה הנדרש על ידי בעלי</t>
  </si>
  <si>
    <t>המניות הוא 10% והמניה נסחרת כרגע במחיר של 250 ש״ח. מה הערכת השוק לגבי שיעור הצמיחה</t>
  </si>
  <si>
    <t>השנתי של הדיבידנדים?</t>
  </si>
  <si>
    <t>שאלה 5 - חישוב שיעור הצמיחה השנתי הצפוי - פתרון</t>
  </si>
  <si>
    <t>נוסחה 3 עוסקת בדיוק במקרה זה - מקרה שבו המטרה היא לחלץ את שיעור הצמיחה הקבוע g:</t>
  </si>
  <si>
    <t>שאלה 6 - תרגול נוסף - חישוב מחיר מניה בהינתן צמיחה</t>
  </si>
  <si>
    <t>הקבלה ל: תרגיל 7 בתרגיל הבית</t>
  </si>
  <si>
    <t>חברה צופה לשלם דיבידנד שנתי בסך 2 ש״ח בעוד מספר ימים (שימו לב, כברירת מחדל בקורס, הכוונה היא</t>
  </si>
  <si>
    <t>שהדיבידנד קרוב מאד, ״מחר״, בזמן 0). שיעור התשואה הנדרש על המניה הוא 10% והדיבידנד צפוי לצמוח</t>
  </si>
  <si>
    <t>בשיעור של 6% לשנה. מהי הערכתכם לגבי מחיר המניה בשוק?</t>
  </si>
  <si>
    <t>אלו הנוסחאות המתאימות לסיטואציה, הואיל והדיבידנד</t>
  </si>
  <si>
    <t>הקרוב הוא בעוד ״מספר ימים״ או ״מחר״ (זמן אפס).</t>
  </si>
  <si>
    <t xml:space="preserve">כשיש צמיחה: </t>
  </si>
  <si>
    <t>Div1 = Div0 * (1 + g)</t>
  </si>
  <si>
    <t>המלצת השף היא</t>
  </si>
  <si>
    <t>לפתור בדרך זו</t>
  </si>
  <si>
    <t xml:space="preserve">שימו לב: בתרגיל 2 השתמשנו בערך הנתון של DIV0 גם בתור DIV1. </t>
  </si>
  <si>
    <t>כאן, אסור לעשות זאת, והשאלה - מדוע?</t>
  </si>
  <si>
    <t>התשובה: בשאלה 2 לא היתה צמיחה (g=0) ולכן כל הדיבידנדים זהים בהגדרה.</t>
  </si>
  <si>
    <t>לעומת זאת, כשיש צמיחה (כמו בשאלה זו) לא נוכל לומר ש DIV1 זהה ל DIV0 אלא נוכל במידת הצורך להשתמש במשוואה:</t>
  </si>
  <si>
    <t>שאלה 7 - תשואת דיבידנד - תרגיל</t>
  </si>
  <si>
    <t>הקבלה ל: תרגיל 1ב בתרגילי הבית</t>
  </si>
  <si>
    <t>חברה שילמה אתמול דיבידנד בסך 50 אג׳ למניה מתוך רווח של 1 ש״ח למניה, והיא צופה כי תשלם דיבידנד</t>
  </si>
  <si>
    <t>בסך 55 אג׳ למניה בשנה הבאה. הדיבידנד צמח בשנים האחרונות בשיעור 10% לשנה והוא צפוי להמשיך</t>
  </si>
  <si>
    <t>ולצמוח בשיעור זה בעתיד הנראה לעין. שיעור התשואה הנדרש על ידי בעלי המניות הוא 25%.</t>
  </si>
  <si>
    <t xml:space="preserve">חשבו את תשואת הדיבידנד הצפויה השנה למשקיע במניה היום. </t>
  </si>
  <si>
    <t>הדרכה: לפי היחס בין הדיבידנד העתידי הקרוב ביותר לשווי המניה היום (וכיצד מגיעים לשווי המניה היום - חשבו</t>
  </si>
  <si>
    <t>לרגע...).</t>
  </si>
  <si>
    <t>המוטיבציה להשקעה במניות מצד המשקיע כוללת:</t>
  </si>
  <si>
    <t>א. את תזרימי הדיבידנד שינבעו לידיו.</t>
  </si>
  <si>
    <t>ב. את השאיפה לעליית שווי / מחיר המניה לאורך זמן.</t>
  </si>
  <si>
    <t>בהקשר זה, המונח ״תשואת דיבידנד״ משקף את אחוז התשואה הנובע לידיו של המשקיע בהתאם לדיבידנד המתקבל</t>
  </si>
  <si>
    <t>ועלות המניה.</t>
  </si>
  <si>
    <t>מימון מתקדם לחשבונאים - הרצאה 7 - תמחור מניות - יישומים נוספים</t>
  </si>
  <si>
    <t>מטרות:</t>
  </si>
  <si>
    <t xml:space="preserve">א. ראשית - אם נתקלתם בכל קושי או בעיה בפתרון התרגילים הנוספים שכתבתי למענכם במערך שיעור Lecture 6 </t>
  </si>
  <si>
    <t>ניתן להציף בשמחה ואעבור וארחיב לפי הצורך ממש כעת לפני שנמשיך.</t>
  </si>
  <si>
    <t xml:space="preserve">ב. מעבר לזה - נציג יישומים נוספים לתמחור מניות שיסייעו בפתרון של תרגילים נוספים בקובץ תרגילי הבית </t>
  </si>
  <si>
    <t xml:space="preserve">הרלוונטיים. </t>
  </si>
  <si>
    <t>נוסחאות מקיפות לתמחור מניה</t>
  </si>
  <si>
    <t>נוסחה 7: התשואה הנדרשת על ההון העצמי על בסיס רמת הסיכון (ביטא) - מודל המחרת ניירות ערך CAPM</t>
  </si>
  <si>
    <t>שיעור התשואה הנדרש על ההון העצמי / ע״י בעלי המניות</t>
  </si>
  <si>
    <t>RF</t>
  </si>
  <si>
    <t>ריבית חסרת סיכון (Risk Free)</t>
  </si>
  <si>
    <t>E(M)</t>
  </si>
  <si>
    <t>תוחלת תשואת תיק השוק</t>
  </si>
  <si>
    <t>β</t>
  </si>
  <si>
    <t>מדד הסיכון השיטתי בחברה</t>
  </si>
  <si>
    <t>נוסחה 8: הערך הנוכחי של הזדמנויות הצמיחה בחברה PVGO</t>
  </si>
  <si>
    <t>הרעיון:</t>
  </si>
  <si>
    <t>הפיתוח:</t>
  </si>
  <si>
    <t>Ps(Growth)</t>
  </si>
  <si>
    <t>מחיר המניה המתחשב בצמיחה</t>
  </si>
  <si>
    <t>Ps(NoGrow)</t>
  </si>
  <si>
    <t>מחיר המניה ללא הזדמנויות צמיחה בהנחה שכל הרווח למניה EPS מחולק כדיבידנד.</t>
  </si>
  <si>
    <t>נוסחה 9: האחוז מערך המניה הנובע מהזדמנות הצמיחה</t>
  </si>
  <si>
    <t>שאלה 1 - מקבילה לשאלה 8 בקובץ מניות ש״ב. נושא / סוגיה: הבסיס למודל ה - CAPM ותשואה על בסיס סיכון</t>
  </si>
  <si>
    <t>חברת ״הנקניק״ בע״מ צפויה לשלם דיבידנד של 10 ש״ח למניה בשנה הבאה. הדיבידנד יצמח בשיעור של 3% לשנה. מחיר</t>
  </si>
  <si>
    <r>
      <t xml:space="preserve">השוק של המניה הוא 200 ש״ח </t>
    </r>
    <r>
      <rPr>
        <sz val="12"/>
        <color theme="8" tint="-0.249977111117893"/>
        <rFont val="David"/>
      </rPr>
      <t>והביטא שלו היא 1.8. התשואה הצפויה על תיק השוק היא 10% והריבית חסרת</t>
    </r>
  </si>
  <si>
    <t>הסיכון היא 4%.</t>
  </si>
  <si>
    <t>א. העריכו את שיעור התשואה הנדרש על המניה (מחיר ההון העצמי) באמצעות מודל צמיחת הדיבידנד.</t>
  </si>
  <si>
    <t>פתרון סעיף א: שימוש בנוסחת תמחיר מניה לחילוץ שיעור התשואה הנדרש על המניה</t>
  </si>
  <si>
    <t>נוסחה 1 (אפשר לקצר טיפה תהליך עם נוסחה 2):</t>
  </si>
  <si>
    <t>200 = 10/(r - 3%)</t>
  </si>
  <si>
    <t>r - 3% = 10/200</t>
  </si>
  <si>
    <t>r = 8%</t>
  </si>
  <si>
    <t>פתרון סעיף ב: שימוש בנוסחת מודל המחרה לניירות ערך לחילוץ שיעור תשואה נדרש</t>
  </si>
  <si>
    <t>נוסחה 7:</t>
  </si>
  <si>
    <t>r = RF + [E(M) - RF] * β</t>
  </si>
  <si>
    <t xml:space="preserve">r = 4% + (10% - 4%) * 1.8 = </t>
  </si>
  <si>
    <t>באופן כללי, דיון מעמיק בדבר מודל זה תבצעו בקורס הבא (ניהול תיקי השקעות). מבחינתנו, רק צריך להבין כיצד ליישם,</t>
  </si>
  <si>
    <t xml:space="preserve">וכן את העיקרון הבסיסי של המודל, שטוען שהתשואה הנדרשת על מניה (מסוכנת) תלויה ברמת הסיכון שלה. </t>
  </si>
  <si>
    <t>רמת הסיכון נאמדת על בסיס ביטא (מדד סיכון יחסי ביחס לשוק) וניתן לראות שככל שהביטא גבוהה יותר התשואה</t>
  </si>
  <si>
    <t>הנדרשת גבוהה יותר.</t>
  </si>
  <si>
    <t>שאלה 2 - מקבילה לשאלה 9 בקובץ מניות שיעורי בית. נושא: הערך הנוכחי של הזדמנויות צמיחה PVGO</t>
  </si>
  <si>
    <t>מחיר השוק של מניית ״המרצה הקודח״ עומד על 100 ש״ח. מחיר ההון העצמי (שיעור התשואה הנדרש על ידי</t>
  </si>
  <si>
    <t>בעלי המניות) הנו 15% והרווח למניה צפוי לעמוד על 14 ש״ח למניה.</t>
  </si>
  <si>
    <t xml:space="preserve">א. חשבו את ה - PVGO. </t>
  </si>
  <si>
    <t>ב. איזה אחוז מערך המניה נובע מהזדמנות צמיחה?</t>
  </si>
  <si>
    <t>פתרון סעיף א: חישוב הערך הנוכחי של הזדמנויות הצמיחה PVGO</t>
  </si>
  <si>
    <t>נוסחה 8:</t>
  </si>
  <si>
    <r>
      <t xml:space="preserve">PVGO = </t>
    </r>
    <r>
      <rPr>
        <sz val="12"/>
        <color rgb="FFFF0000"/>
        <rFont val="David"/>
      </rPr>
      <t>PS(Growth)</t>
    </r>
    <r>
      <rPr>
        <sz val="12"/>
        <color theme="1"/>
        <rFont val="David"/>
      </rPr>
      <t xml:space="preserve"> - </t>
    </r>
    <r>
      <rPr>
        <sz val="12"/>
        <color rgb="FF0070C0"/>
        <rFont val="David"/>
      </rPr>
      <t>PS(NoGrowth)</t>
    </r>
  </si>
  <si>
    <r>
      <t xml:space="preserve">PVGO = </t>
    </r>
    <r>
      <rPr>
        <sz val="12"/>
        <color rgb="FFFF0000"/>
        <rFont val="David"/>
      </rPr>
      <t>100</t>
    </r>
    <r>
      <rPr>
        <sz val="12"/>
        <color theme="1"/>
        <rFont val="David"/>
      </rPr>
      <t xml:space="preserve"> - </t>
    </r>
    <r>
      <rPr>
        <sz val="12"/>
        <color rgb="FF0070C0"/>
        <rFont val="David"/>
      </rPr>
      <t>14/15%</t>
    </r>
    <r>
      <rPr>
        <sz val="12"/>
        <color theme="1"/>
        <rFont val="David"/>
      </rPr>
      <t xml:space="preserve"> = </t>
    </r>
  </si>
  <si>
    <t>PS(Growth)</t>
  </si>
  <si>
    <t>מחיר המניה בהנחה שיש צמיחה - נתון (ברירת מחדל: מחיר נתון / קיים משקף צמיחה).</t>
  </si>
  <si>
    <t>PS(NoGrowth)</t>
  </si>
  <si>
    <t xml:space="preserve">מחיר המניה בהנחה שאין השקעות = אין צמיחה. </t>
  </si>
  <si>
    <t xml:space="preserve">הרווח למניה (בעולם ללא צמיחה - כולו מחולק כדיבידנד). נתון בשאלה: 14. </t>
  </si>
  <si>
    <t>שימו לב שמחיר המניה המשקף צמיחה כבר נתון בשאלה. אם הוא לא היה נתון, היינו צריכים</t>
  </si>
  <si>
    <t xml:space="preserve">לחשבו לפי </t>
  </si>
  <si>
    <t>על בסיס נתונים נוספים רלוונטיים שהיו מספקים במצב כזה.</t>
  </si>
  <si>
    <t>המשמעות הכלכלית: אם, תיאורטית, החברה היתה מכנסת ישיבת דירקטוריון ובמהלכה מחליטה:</t>
  </si>
  <si>
    <t>״מעתה ואילך לא משקיעים יותר בחברה. כל שקל שנכנס כרווח יוצא כדיבידנד לבעלים״</t>
  </si>
  <si>
    <t>שווי המניה היה יורד מיד ב-6.67 ש״ח.</t>
  </si>
  <si>
    <t>פתרון סעיף ב - האחוז מערך המניה הנובע מהזדמנויות צמיחה</t>
  </si>
  <si>
    <t>כאמור בנוסחה 9 בסך הכל נחלק את ה PVGO במחיר המניה הקיים המתחשב בצמיחה ונקבל:</t>
  </si>
  <si>
    <t>נוסחה 9:</t>
  </si>
  <si>
    <t xml:space="preserve">PVGO/Ps(Growth) = 6.67 / 100 = </t>
  </si>
  <si>
    <t>שאלה 3 - מקבילה לשאלה 10 בקובץ מניות שיעורי בית. נושא: מכפיל רווח על בסיס היסטורי ועתידי</t>
  </si>
  <si>
    <t>מניית חברת ״הנקניקיה המשוגעת״ נסחרת כיום ב-100 דולר, מה שמשקף לה שווי של קרוב ל-10 מיליארד דולר.</t>
  </si>
  <si>
    <t>בדוחותיה האחרונים לשנת 2022, דיווחה החברה על רווח של 20 דולר למניה, לעומת הערכת אנליסטים לרווח</t>
  </si>
  <si>
    <t>למניה בסכום של 25 דולר בתחזית לשנת 2023.</t>
  </si>
  <si>
    <t>א. חשבו את מכפיל הרווח של החברה על בסיס היסטורי ועתידי.</t>
  </si>
  <si>
    <t>ב. אם שווי השוק של החברה הוא 10.5 מיליארד דולר, מהו מספר המניות שהונפקו על ידי החברה.</t>
  </si>
  <si>
    <t>פתרון סעיף א: מכפיל הרווח על בסיס היסטורי ועתידי</t>
  </si>
  <si>
    <t>בדוחות השנה האחרונה. יחד עם זאת ככל שניתן להעריך מהו הרווח העתידי למניה כמובן שניתן להתבסס גם עליו.</t>
  </si>
  <si>
    <t xml:space="preserve">בסעיף זה דרשו מאיתנו לחשב את מכפיל הרווח גם על בסיס הרווח ההיסטורי וגם על בסיס הרווח העתידי. </t>
  </si>
  <si>
    <t>בבחינה, אתם יכולים להישאל על שני סוגי החישובים כאשר יאמרו לכם מפורשות האם לחשב על בסיס היסטורי או עתידי;</t>
  </si>
  <si>
    <t xml:space="preserve">שניתן להעריכו, משום שיכולת המשקיע להחזיר את ההשקעה נשענת על רווחים עתידיים והרווח ההיסטורי הוא רק </t>
  </si>
  <si>
    <t>אינדיקטור (ולעתים לא מדויק) לגביהם.</t>
  </si>
  <si>
    <t>מכפיל היסטורי</t>
  </si>
  <si>
    <t>PE(Historic) = 100/20 = 5</t>
  </si>
  <si>
    <t>מכפיל עתידי</t>
  </si>
  <si>
    <t>PE(ForwardLooking) = 100 / 25 = 4</t>
  </si>
  <si>
    <t>פתרון סעיף ב: מספר המניות שהונפקו על ידי החברה</t>
  </si>
  <si>
    <t>&lt;&lt;&lt;</t>
  </si>
  <si>
    <t>בשאלה נתנו גם שווי ״מקורב״ של כ-10 מיליארד</t>
  </si>
  <si>
    <t>שאלה קלילה. שווי החברה חלקי המחיר למניה.</t>
  </si>
  <si>
    <t>אך כמובן חישוב מחיר המניה יתבסס על שווי</t>
  </si>
  <si>
    <t xml:space="preserve">10,500,000,000 / 100 = </t>
  </si>
  <si>
    <t xml:space="preserve">מדויק שנתון בנדרש זה: 10.5 מיליארד. </t>
  </si>
  <si>
    <t>שאלה 4 - מקבילה לשאלה 11 - בקובץ מניות שיעורי בית. נושא: מכפיל ממוצע לטובת תמחיר מניה</t>
  </si>
  <si>
    <t>החברה ״עפרי את שיבז״ שוקלת לבצע הנפקת מניות לציבור. לכן מעוניינת החברה להעריך את שווי המניה בשיטת</t>
  </si>
  <si>
    <t>E</t>
  </si>
  <si>
    <t>D</t>
  </si>
  <si>
    <t>C</t>
  </si>
  <si>
    <t>A</t>
  </si>
  <si>
    <t>O&amp;S</t>
  </si>
  <si>
    <t>Net P&amp;L - ILS Millions</t>
  </si>
  <si>
    <t>Number of shares Millions</t>
  </si>
  <si>
    <t>שאלה זו היא במבנה שונה לחלוטין, מה שמכתיב התייחסות פתרון שונה לחלוטין, שמתבססת על שלבי העבודה הבאים:</t>
  </si>
  <si>
    <r>
      <t xml:space="preserve">שלב 1: חשבו את ה - EPS כלומר את הרווח למניה, על בסיס הפרופורציה בין </t>
    </r>
    <r>
      <rPr>
        <b/>
        <u/>
        <sz val="12"/>
        <color theme="1"/>
        <rFont val="David"/>
      </rPr>
      <t>הרווח</t>
    </r>
    <r>
      <rPr>
        <sz val="12"/>
        <color theme="1"/>
        <rFont val="David"/>
      </rPr>
      <t xml:space="preserve"> לבין </t>
    </r>
    <r>
      <rPr>
        <b/>
        <u/>
        <sz val="12"/>
        <color theme="1"/>
        <rFont val="David"/>
      </rPr>
      <t>מספר המניות</t>
    </r>
    <r>
      <rPr>
        <sz val="12"/>
        <color theme="1"/>
        <rFont val="David"/>
      </rPr>
      <t>, בכל חברה.</t>
    </r>
  </si>
  <si>
    <r>
      <t xml:space="preserve">שלב 2: חשבו את מכפיל הרווח של כל חברה PE על בסיס </t>
    </r>
    <r>
      <rPr>
        <b/>
        <u/>
        <sz val="12"/>
        <color theme="1"/>
        <rFont val="David"/>
      </rPr>
      <t>הפרופורציה בין מחיר המניה</t>
    </r>
    <r>
      <rPr>
        <sz val="12"/>
        <color theme="1"/>
        <rFont val="David"/>
      </rPr>
      <t xml:space="preserve"> לבין </t>
    </r>
    <r>
      <rPr>
        <b/>
        <u/>
        <sz val="12"/>
        <color theme="1"/>
        <rFont val="David"/>
      </rPr>
      <t>ה - EPS</t>
    </r>
  </si>
  <si>
    <r>
      <t xml:space="preserve">שלב 3: חשבו את </t>
    </r>
    <r>
      <rPr>
        <b/>
        <u/>
        <sz val="12"/>
        <color theme="1"/>
        <rFont val="David"/>
      </rPr>
      <t>מכפיל הרווח הממוצע בענף</t>
    </r>
    <r>
      <rPr>
        <sz val="12"/>
        <color theme="1"/>
        <rFont val="David"/>
      </rPr>
      <t xml:space="preserve"> (פונקציית AVERAGE פשוטה המופעלת על ערכי PE)</t>
    </r>
  </si>
  <si>
    <t>שלב 4: מכפלת ה EPS בחברה שאותה רוצים לתמחר (O&amp;S) במכפיל הרווח הממוצע הענפי = מחיר היעד למניה.</t>
  </si>
  <si>
    <t>כמובן, בטכניקת פתרון זו סמויה ההנחה שאכן מכפיל הרווח הממוצע של החברות בענף הוא מייצג לעניין החברה הנדונה</t>
  </si>
  <si>
    <t xml:space="preserve">ואופק התפתחותה. בהיעדר נתונים סותרים, ומידע שמאפשר לתמחר את המניה באופן ישיר, אכן כך נפעל. </t>
  </si>
  <si>
    <t>Stage 1: EPS</t>
  </si>
  <si>
    <t>N/A</t>
  </si>
  <si>
    <t>Stage 2: PE = Ps/EPS</t>
  </si>
  <si>
    <t>Stage 3: Average(PE)</t>
  </si>
  <si>
    <t>Stage 4: PE * EPS = Ps</t>
  </si>
  <si>
    <t>PE = Ps/EPS &gt;&gt;&gt;&gt;&gt;&gt;&gt; Ps = PE * EPS</t>
  </si>
  <si>
    <t>תשובתנו הסופית: המחיר שצפוי בהנפקה למניית חברת ״עפרי את שיבז״ הוא כ-2.713 ש״ח.</t>
  </si>
  <si>
    <t>מעבר להמחשה של הצד הטכני, השאלה הזו תורמת לנו בכך שהיא מסייעת לנו להבין שבמקרים רבים, כאשר מדובר</t>
  </si>
  <si>
    <t xml:space="preserve">בחברות חדשות / המונפקות לראשונה, ניתן להיעזר / להתבסס על ערכים ממוצעים מקובלים בחברות מתחרות, </t>
  </si>
  <si>
    <t xml:space="preserve">כדי לחשב ערכים צפויים בחברה החדשה. </t>
  </si>
  <si>
    <t>שאלה 5 - מקבילה לשאלה 12 - בקובץ מניות שיעורי בית. נושא: PVGO ותמחור מניה על בסיס נתונים עתידיים</t>
  </si>
  <si>
    <t>חברת ״ליאור קוממי״ בע״מ שוקלת לחלק 80% מרווחיה כדיבידנד. את יתר הרווחים היא משקיעה מחדש בחברה.</t>
  </si>
  <si>
    <t>מנתוני עבר עולה כי הרווח השנתי למניה היה כדלקמן:</t>
  </si>
  <si>
    <t>רווח נקי למניה (באגורות)</t>
  </si>
  <si>
    <t xml:space="preserve">שיעור התשואה הנדרש על ידי בעלי המניות של ליאור קוממי הוא 15%. </t>
  </si>
  <si>
    <t>א. מהו שווי המניה היום (הניחו כי היום ה-1.1.2023).</t>
  </si>
  <si>
    <t xml:space="preserve">ב. מהו הערך הנוכחי של הזדמנויות הצמיחה בחברה PVGO אם ידוע שלשם כך הרווח המייצג בהנחת היעדר </t>
  </si>
  <si>
    <t>צמיחה היה הרווח למניה של שנת 2017?</t>
  </si>
  <si>
    <t>ג. מהו האחוז משווי המניה שמהווה ה - PVGO?</t>
  </si>
  <si>
    <t>פתרון סעיף א: שווי מניה על בסיס נתונים עתידיים</t>
  </si>
  <si>
    <t>חשוב מאד! נתונים היסטוריים כשלעצמם אינם חלק מתמחיר מניה. רק הדיבידנדים העתידיים משמשים לתמחיר מניה.</t>
  </si>
  <si>
    <t>לפיכך, לצורך פתרון סעיף א, כל הנתונים ההיסטוריים אינם רלוונטיים והם בגדר נתוני סרק. יחד עם זאת, הסברנו כי המקרה</t>
  </si>
  <si>
    <t xml:space="preserve">היחידי שבו יהיה לנו שימוש בנתונים אלו הוא כאשר נתונים היסטוריים אלו עוזרים להסיק בדבר הדיבידנד העתידי. </t>
  </si>
  <si>
    <t>במקרה זה, אם היה נתון שיעור הצמיחה בשנת 2023, יכולתי לחשב את הדיבידנד העתידי ב-2023 ולתמחר לפיו, לצערי,</t>
  </si>
  <si>
    <t xml:space="preserve">שיעור הצמיחה לא נתון. </t>
  </si>
  <si>
    <r>
      <t xml:space="preserve">מה עושים כשקיימים נתונים </t>
    </r>
    <r>
      <rPr>
        <b/>
        <sz val="12"/>
        <color rgb="FFFF0000"/>
        <rFont val="David"/>
      </rPr>
      <t>היסטוריים</t>
    </r>
    <r>
      <rPr>
        <b/>
        <sz val="12"/>
        <color theme="1"/>
        <rFont val="David"/>
      </rPr>
      <t xml:space="preserve"> לגבי רווח למניה בשנים עברו, וצריך לדעת מה שיעור הצמיחה לעתיד g?</t>
    </r>
  </si>
  <si>
    <t>העתידיות. זה אומר בעצם שנפתור בשלבים הבאים:</t>
  </si>
  <si>
    <t>שלב 1: נחשב את שיעור הצמיחה שחל במהלך 5 השנים האחרונות: מתום 2017 לתום 2022. זאת על בסיס הפרופורציה</t>
  </si>
  <si>
    <t>הפשוטה בין הרווח למניה ב-2022 לרווח למניה ב-2017.</t>
  </si>
  <si>
    <t>שלב 2: נתקנן את שיעור הצמיחה משלב 1, שהוא שיעור הצמיחה ל-5 שנים, לשיעור צמיחה לשנה על בסיס נוסחת הריבית</t>
  </si>
  <si>
    <t>האפקטיבית (חזקת שבר רלוונטית).</t>
  </si>
  <si>
    <t xml:space="preserve">שלב 3: נחשב את הרווח למניה הצפוי בתום השנה הקרובה 2023 לפי שיעור הצמיחה השנתי משלב 2 ונתוני הרווח למניה </t>
  </si>
  <si>
    <t>ב-2022.</t>
  </si>
  <si>
    <t>שלב 4: נכפול את הרווח למניה בשיעור חלוקת הדיבידנד כדי לקבל את הדיבידנד העתידי הקרוב.</t>
  </si>
  <si>
    <t xml:space="preserve">שלב 5: נתמחר את המניה לפי נוסחה 1. </t>
  </si>
  <si>
    <t>שלב 1: שיעור צמיחה ל-5 שנים - יחס בין EPS אחרון ל - EPS ראשון נתון:</t>
  </si>
  <si>
    <r>
      <rPr>
        <sz val="12"/>
        <color rgb="FFFF0000"/>
        <rFont val="David"/>
      </rPr>
      <t>150 / 100</t>
    </r>
    <r>
      <rPr>
        <sz val="12"/>
        <color theme="1"/>
        <rFont val="David"/>
      </rPr>
      <t xml:space="preserve"> - </t>
    </r>
    <r>
      <rPr>
        <b/>
        <sz val="12"/>
        <color theme="1"/>
        <rFont val="David"/>
      </rPr>
      <t>1</t>
    </r>
    <r>
      <rPr>
        <sz val="12"/>
        <color theme="1"/>
        <rFont val="David"/>
      </rPr>
      <t xml:space="preserve"> = </t>
    </r>
  </si>
  <si>
    <t>שלב 2: תקנון שיעור הצמיחה למונחים שנתיים - כלומר חישוב g:</t>
  </si>
  <si>
    <t xml:space="preserve">(1 + 50%)^(1/5) - 1 = </t>
  </si>
  <si>
    <t xml:space="preserve">150 * (1 + 8.4472%) = </t>
  </si>
  <si>
    <t>שלב 4: הדיבידנד הצפוי ב-2023 אם נתון ששיעור הדיבידנד 80% מהרווח:</t>
  </si>
  <si>
    <t>שלב 5: תמחור המניה לפי נוסחה 1:</t>
  </si>
  <si>
    <t>אחלה קוממי שבעולם</t>
  </si>
  <si>
    <t>פתרון סעיף ב: הערך הנוכחי של הזדמנויות הצמיחה בחברה PVGO</t>
  </si>
  <si>
    <r>
      <t xml:space="preserve">PVGO = </t>
    </r>
    <r>
      <rPr>
        <b/>
        <sz val="12"/>
        <color rgb="FFFF0000"/>
        <rFont val="David"/>
      </rPr>
      <t>PS(Growth)</t>
    </r>
    <r>
      <rPr>
        <sz val="12"/>
        <color theme="1"/>
        <rFont val="David"/>
      </rPr>
      <t xml:space="preserve"> - PS(NoGrowth)</t>
    </r>
  </si>
  <si>
    <r>
      <t>PVGO = Div/(r-g) -</t>
    </r>
    <r>
      <rPr>
        <sz val="12"/>
        <rFont val="David"/>
      </rPr>
      <t xml:space="preserve"> </t>
    </r>
    <r>
      <rPr>
        <sz val="12"/>
        <color rgb="FF0070C0"/>
        <rFont val="David"/>
      </rPr>
      <t>EPS</t>
    </r>
    <r>
      <rPr>
        <sz val="12"/>
        <rFont val="David"/>
      </rPr>
      <t>/r</t>
    </r>
  </si>
  <si>
    <r>
      <t xml:space="preserve">PVGO = </t>
    </r>
    <r>
      <rPr>
        <b/>
        <sz val="12"/>
        <color rgb="FFFF0000"/>
        <rFont val="David"/>
      </rPr>
      <t>1,985.96</t>
    </r>
    <r>
      <rPr>
        <sz val="12"/>
        <color theme="1"/>
        <rFont val="David"/>
      </rPr>
      <t xml:space="preserve"> - </t>
    </r>
    <r>
      <rPr>
        <sz val="12"/>
        <color rgb="FF0070C0"/>
        <rFont val="David"/>
      </rPr>
      <t>100</t>
    </r>
    <r>
      <rPr>
        <sz val="12"/>
        <color theme="1"/>
        <rFont val="David"/>
      </rPr>
      <t xml:space="preserve">/15% = </t>
    </r>
  </si>
  <si>
    <t>קוממי צומח כמו מטורף</t>
  </si>
  <si>
    <t xml:space="preserve">שימו לב: את מחיר המניה המתחשב בהשפעות הצמיחה, ואשר מסומן כ -Ps Growth כבר חישבנו בסעיף א. </t>
  </si>
  <si>
    <t>כדי לחשב את מחיר המניה ללא צמיחה Ps No Growth עלינו לדעת מהו ה - EPS תחת הנחה כזו. בנתוני השאלה,</t>
  </si>
  <si>
    <t>ציינו מפורשות: ה - EPS ללא צמיחה יהיה בדיוק ה - EPS של 2017 שהוא כנתון 100. חילקנו כמובן בשיעור התשואה</t>
  </si>
  <si>
    <t>על ההון - 15% שנתון.</t>
  </si>
  <si>
    <t>פתרון סעיף ג: האחוז שמהווה ה - PVGO משווי החברה (קליל)</t>
  </si>
  <si>
    <t xml:space="preserve">1,319.3/1,985.96 = </t>
  </si>
  <si>
    <t>היחס בין PVGO לבין שווי המניה עם צמיחה</t>
  </si>
  <si>
    <t>שאלה 6 - מקבילה לשאלה 13 - בקובץ מניות שיעורי בית. נושא: דיון תיאורטי במשמעות התמחיר</t>
  </si>
  <si>
    <t>הערך הנוכחי של תזרים הדיבידנדים עבור מניית ״אביה ארביב״ הוא 500 ש״ח והיא נסחרת בשוק במחיר</t>
  </si>
  <si>
    <t xml:space="preserve">של 400 ש״ח. האם תמליצו לרכוש את המניה? הסבירו. </t>
  </si>
  <si>
    <t>ככלל, אם אני באמת יודע מה התזרים ממניית ארביב (מה שקצת קשה לשער) אז ברור שכדאי לרכוש מניה שמחירה נמוך</t>
  </si>
  <si>
    <t>מהערך של התזרימים הנובעים ממנה. יש לסייג את המסקנות באופן בסיסי ולטעון שכמובן זאת בהנחה שאני בטוח לגמרי</t>
  </si>
  <si>
    <t xml:space="preserve">בנכונות הערכתי לגבי הרווח למניה. </t>
  </si>
  <si>
    <t>שאלה 7 - מקבילה לשאלה 14 - בקובץ מניות שיעורי בית. נושא: תמחור מניה בקטנה (שאלה קלילה-לבית)</t>
  </si>
  <si>
    <r>
      <t xml:space="preserve">הדיבידנד הצפוי על מניית ״רום״ בע״מ הוא 20 ש״ח והוא צומח בשיעור שנתי של </t>
    </r>
    <r>
      <rPr>
        <b/>
        <sz val="12"/>
        <color theme="1"/>
        <rFont val="David"/>
      </rPr>
      <t>10%</t>
    </r>
    <r>
      <rPr>
        <sz val="12"/>
        <color theme="1"/>
        <rFont val="David"/>
      </rPr>
      <t xml:space="preserve"> לאינסוף. אם המשקיעים</t>
    </r>
  </si>
  <si>
    <t>במניה דורשים שיעור תשואה של 18% על השקעתם, מהו מחיר המניה בשוק?</t>
  </si>
  <si>
    <t>נוסחה 1:</t>
  </si>
  <si>
    <t xml:space="preserve">Ps = 20/(18% - 10%) = </t>
  </si>
  <si>
    <t>הערת אגב פרשנית: אם אומרים ״הדיבידנד הצפוי״ ולא מספרים מתי הוא צפוי, ברירת המחדל היא</t>
  </si>
  <si>
    <t>שמדובר במקרה הקלאסי / הפשוט של ״בעוד שנה״. ככל שהדיבידנד קרוב מאד (זמן 0) יתלווה לכך</t>
  </si>
  <si>
    <t>תיאור מתאים, כגון: הדיבידנד הקרוב יחולק מחר / בעוד מספר ימים / הדיבידנד חולק לאחרונה לפני</t>
  </si>
  <si>
    <t>שנה.</t>
  </si>
  <si>
    <t>שאלה 8 - מקבילה לשאלה 15 - בקובץ מניות שיעורי בית. נושא: המשמעות התיאורטית של המכפיל</t>
  </si>
  <si>
    <t xml:space="preserve">המכפיל של מניית ״מוריה עורקבי״ הוא 10 ושל מניית ״עכבר הכפר״ הוא 80. האם ניתן להכריע לגבי המניה  </t>
  </si>
  <si>
    <t>המועדפת? נמקו.</t>
  </si>
  <si>
    <t>קודם כל אם תהיה שאלה כזו במבחן כולם אמורים לענות שעורקבי עדיפה אפילו אם יפסידו על כך נקודות ומדוע? כי ראוי</t>
  </si>
  <si>
    <t>לשם מחיר בעבור האמת ואין על עורקבי.</t>
  </si>
  <si>
    <t xml:space="preserve">ועכשיו ברצינות, </t>
  </si>
  <si>
    <t>התשובה שלילית, אלא אם מדובר בחברות דומות, הפועלות באותו ענף, חשופות לאותו סיכון, ומפגינות</t>
  </si>
  <si>
    <t xml:space="preserve">צמיחה בשיעורים דומים (ולא ניתן להניח זהות בכל הפרמטרים הללו, בהיעדר נתון מפורש בשאלה). </t>
  </si>
  <si>
    <t>בהרחבה: חשוב לזכור שמכפיל הרווח הוא רק אינדיקטור; וכזה שנשען על הנחות לפיהן ערכו מייצג, צפוי להישמר בעתיד</t>
  </si>
  <si>
    <t xml:space="preserve">וחשוף לאותה מידה של אי ודאות בקבלתו. בדרך כלל, חברות הן שונות זו מזו (גם אם פועלות באותו ענף) ולכן המכפיל </t>
  </si>
  <si>
    <t>יפורש בזהירות רבה ובשים לב לנתונים נוספים, בכל הקשור לבחירה בין מניות.</t>
  </si>
  <si>
    <t>שאלה 9 - מקבילה לשאלה 16 - בקובץ מניות שיעורי בית. נושא: צמיחת דיבידנד משתנה</t>
  </si>
  <si>
    <t>בתחילת 2023 חברה לייצור מכונות לחימום נקניק הונפקה לראשונה. בתשקיף ההנפקה הובהר כי הדיבידנד</t>
  </si>
  <si>
    <t xml:space="preserve">הצפוי בסוף השנה הוא 10 ש״ח למניה והחברה צופה צמיחה מואצת של 40% לשנה בכל אחת מהשנים 2024, 2025,  </t>
  </si>
  <si>
    <t xml:space="preserve">וכן 2026, 2027 ו-2028. לאחר מכן, שיעור הצמיחה השנתי יתייצב ויעמוד על 5%. אם שיעור התשואה הנדרש </t>
  </si>
  <si>
    <t>על ידי משקיעים בסקטור חימום הנקניק הוא 20%, מהו מחיר המניה בהנפקה?</t>
  </si>
  <si>
    <t>זהו מקרה קלאסי לתרגול נוסף של צמיחת דיבידנד בשיעורים משתנים. התהליך הטכני לפתרון הוא כדלקמן:</t>
  </si>
  <si>
    <t>שלב 1: בנו טבלה ובה תחשבו את סכום הדיבידנד לכל אחת מהשנים בהתאם לשיעור הצמיחה לתקופה המוגדרת.</t>
  </si>
  <si>
    <r>
      <t xml:space="preserve">שלב 2: סמנו את הדיבידנד האחרון, שממנו </t>
    </r>
    <r>
      <rPr>
        <b/>
        <sz val="12"/>
        <color theme="1"/>
        <rFont val="David"/>
      </rPr>
      <t>והלאה</t>
    </r>
    <r>
      <rPr>
        <sz val="12"/>
        <color theme="1"/>
        <rFont val="David"/>
      </rPr>
      <t xml:space="preserve"> הצמיחה היא קבועה.</t>
    </r>
  </si>
  <si>
    <t>שלב 3: חשבו לפי נוסחה 1 את הערך הנוכחי של הדיבידנדים החל מהדיבידנד שזוהה בשלב 2. התוצאה תבטא את הערך</t>
  </si>
  <si>
    <t>של אותם הדיבידנדים במונחי יחידת זמן שהיא ״אחת אחורה״.</t>
  </si>
  <si>
    <t>שלב 4: בטאו את הערך המצרפי של כל התזרימים.</t>
  </si>
  <si>
    <t>שלב 5: חשבו NPV לכל התזרימים ובטאו את שווי המניה.</t>
  </si>
  <si>
    <t>ערך נוכחי</t>
  </si>
  <si>
    <t>מצרפי</t>
  </si>
  <si>
    <t>דיבידנדים</t>
  </si>
  <si>
    <t>שצומחים קבוע</t>
  </si>
  <si>
    <t>שווי המניה בהנפקה:</t>
  </si>
  <si>
    <t>שאלה 10 - מקבילה לשאלה 17 - בקובץ מניות שיעורי בית. נושא: שווי מניה שטרם חילקה דיבידנדים - תיאוריה</t>
  </si>
  <si>
    <t>חברת בראונשויגסק (שם קליט ממש) מיקמה את מכונת ייצור הנקניק ליד השירותים וכפועל יוצא נאלצה להשבית</t>
  </si>
  <si>
    <t xml:space="preserve">את המפעל מיד עם הקמתו. כפועל יוצא, החברה לא חילקה דיבידנדים ב-5 השנים הראשונות לפעילותה. יחד עם </t>
  </si>
  <si>
    <t>זאת, המשקיעים סבורים שבעוד מספר שנים החברה תחזור לייצר נקניק רווחי. הסבירו באופן כללי ותיאורטי,</t>
  </si>
  <si>
    <t>מה יקבע את מחיר המניה במצב כזה?</t>
  </si>
  <si>
    <t>שאלה 11 - מקבילה לשאלה 18 - בקובץ מניות שיעורי בית. נושא: דיבידנד רבעוני</t>
  </si>
  <si>
    <t>להלן הדיבידנד ששילמה חברת ״נקניקי הגליל״ ב-4 השנים האחרונות (בש״ח):</t>
  </si>
  <si>
    <t>Dividend</t>
  </si>
  <si>
    <t>Date</t>
  </si>
  <si>
    <t>א. חשבו את שיעור הצמיחה השנתי הממוצע בדיבידנד.</t>
  </si>
  <si>
    <t xml:space="preserve">ב. מה צפוי להיות הדיבידנד השנתי למניה בשנת 2023 (הדרכה: ברירת המחדל היא צמיחה קבועה, זו ההנחה). </t>
  </si>
  <si>
    <t>ג. אם מחיר ההון העצמי של החברה (שיעור התשואה שדורשים בעלי המניות) הוא 27.684%, מהי הערכתכם לגבי</t>
  </si>
  <si>
    <t>מחיר המניה בשוק (ליום 31.12.2022)?</t>
  </si>
  <si>
    <t>פתרון סעיף א: שיעור צמיחה שנתי ממוצע בדיבידנד</t>
  </si>
  <si>
    <t>שיעור צמיחה 5 שנתי:</t>
  </si>
  <si>
    <t xml:space="preserve">5.44/2.41 - 1 = </t>
  </si>
  <si>
    <t>שיעור צמיחה לשנה:</t>
  </si>
  <si>
    <t xml:space="preserve">(1 + 125.726%)^(1/5) - 1 = </t>
  </si>
  <si>
    <t>פתרון סעיף ב: הדיבידנד השנתי הצפוי ב-2023</t>
  </si>
  <si>
    <t>הדיבידנד השנתי הצפוי בשנה הבאה ייקבע לפי הדיבידנד האחרון (של 2022 שנתון) כפול אחת בתוספת צמיחה לשנה.</t>
  </si>
  <si>
    <t xml:space="preserve">5.44 * (1 + 17.684%) = </t>
  </si>
  <si>
    <t>פתרון סעיף ג: מחיר המניה בשוק (ליום 31.12.2022)</t>
  </si>
  <si>
    <t xml:space="preserve">6.402/(27.684% - 17.684%) = </t>
  </si>
  <si>
    <t>הסבר: אנו נמצאים ב-31.12.2022. הדיבידנד העתידי הקרוב ביותר - הוא הדיבידנד לשנת 2023, שאותו חישבנו</t>
  </si>
  <si>
    <t>בסעיף ב ואשר סכומו 6.402. זה למעשה ה - Div בנוסחה 1:</t>
  </si>
  <si>
    <t>לגבי ה - r: נתון בשאלה 27.684%. לגבי g - חילצנו את ערכו השנתי בסעיף א: 17.684%.</t>
  </si>
  <si>
    <t xml:space="preserve">תרגול נוסף - ללימוד עצמי - תכתבו לי בטירוף כל שאלה - בנים ובנות של מלך </t>
  </si>
  <si>
    <t>פתרון צרחותתתתתת</t>
  </si>
  <si>
    <t>שאלה 12 - תרגול נוסף - חישוב מחיר מניה בהינתן צמיחה</t>
  </si>
  <si>
    <t>הדיבידנד הצפוי ממניה מסויימת הוא 3 ש״ח והוא צומח בשיעור שנתי של 5% לאינסוף. אם המשקיעים</t>
  </si>
  <si>
    <t>דורשים תשואה בשיעור 15% על השקעתם, מהו מחיר המניה בשוק?</t>
  </si>
  <si>
    <t>הערה: שימו לב שכהנחת ברירת מחדל, התזרימים (לרבות דיבידנדים) הם תום שנתיים ולא תחילת שנתיים.</t>
  </si>
  <si>
    <t>זיהוי תזרימים תחילת שנתיים מבוצע על ידי אזכור מפורש של המונח או על ידי ביטוי כגון ״יחולק בעוד</t>
  </si>
  <si>
    <t>מספר ימים״.</t>
  </si>
  <si>
    <t>שאלה 13 - שאלה עקרונית לגבי תמחור מניות וכדאיות השקעה</t>
  </si>
  <si>
    <t>הערך הנוכחי של תזרים הדיבידנדים עבור מניה מסויימת הוא 80 ש״ח והיא נסחרת בשוק במחיר 120 ש״ח.</t>
  </si>
  <si>
    <t>האם תמליצו למשקיעים לרכוש את המניה? הסבירו.</t>
  </si>
  <si>
    <t>תשובה עקרונית:</t>
  </si>
  <si>
    <t>השווי שאנו מחשבים למניה בהתאם למודלים הנלמדים בקורס הוא שווי ״כלכלי״ - כלומר כזה שמביא בחשבון</t>
  </si>
  <si>
    <t xml:space="preserve">את הנתונים האובייקטיביים לגבי גובה הדיבידנדים, צמיחתם והתשואה הנדרשת. </t>
  </si>
  <si>
    <t>לעומת זאת - שווי המניה בשוק נקבע לפי היצע וביקוש (פקודות מסחר של משקיעים).</t>
  </si>
  <si>
    <t xml:space="preserve">לכן במקרה זה - אם הערך הנוכחי של הדיבידנדים (שווי המניה הכלכלי) הוא 80, והמחיר בשוק כנתון הוא 120, </t>
  </si>
  <si>
    <r>
      <t xml:space="preserve">סימן שהמחיר בשוק מנופח / מופרז / גבוה מדי - </t>
    </r>
    <r>
      <rPr>
        <u/>
        <sz val="12"/>
        <color theme="1"/>
        <rFont val="David"/>
      </rPr>
      <t>לא</t>
    </r>
    <r>
      <rPr>
        <sz val="12"/>
        <color theme="1"/>
        <rFont val="David"/>
      </rPr>
      <t xml:space="preserve"> נמליץ לקנות.</t>
    </r>
  </si>
  <si>
    <t>שאלה 14 - תשואת דיבידנד - תרגיל</t>
  </si>
  <si>
    <t>שאלה 15 - תשואת דיבידנד</t>
  </si>
  <si>
    <r>
      <t xml:space="preserve">הדיבידנד השנתי האחרון </t>
    </r>
    <r>
      <rPr>
        <b/>
        <sz val="12"/>
        <color theme="1"/>
        <rFont val="David"/>
      </rPr>
      <t>שחילקה</t>
    </r>
    <r>
      <rPr>
        <sz val="12"/>
        <color theme="1"/>
        <rFont val="David"/>
      </rPr>
      <t xml:space="preserve"> חברה לבעלי מניותיה </t>
    </r>
    <r>
      <rPr>
        <b/>
        <sz val="12"/>
        <color theme="1"/>
        <rFont val="David"/>
      </rPr>
      <t>אתמול</t>
    </r>
    <r>
      <rPr>
        <sz val="12"/>
        <color theme="1"/>
        <rFont val="David"/>
      </rPr>
      <t xml:space="preserve"> היה 1 ש״ח למניה. הוא שיקף תשואת דיבידנד</t>
    </r>
  </si>
  <si>
    <t>של 10% ביחס למחיר המניה היום.</t>
  </si>
  <si>
    <t>א. מהו מחיר המניה היום.</t>
  </si>
  <si>
    <t>ב. בהנחה שהדיבידנד השנתי שמשלמת החברה צומח בשיעור קבוע של 15%, מהו מחיר ההון העצמי של</t>
  </si>
  <si>
    <t xml:space="preserve">החברה היום (התשואה שדורשים בעלי המניות המשקיעים היום במניה)? </t>
  </si>
  <si>
    <t>אם דיבידנד שחולק יוצר תשואת דיבידנד של 10%, המשמעות היא שהיחס בין סכומו (הנתון) לבין מחיר המניה</t>
  </si>
  <si>
    <t>היום, שאיננו נתון, הוא 10%. מכך אפשר לחלץ את מחיר המניה:</t>
  </si>
  <si>
    <r>
      <t xml:space="preserve">פתרון סעיף ב - חילוץ שיעור תשואה נדרש ע״י בעלים - </t>
    </r>
    <r>
      <rPr>
        <b/>
        <sz val="12"/>
        <color rgb="FFFF0000"/>
        <rFont val="David"/>
      </rPr>
      <t>r</t>
    </r>
  </si>
  <si>
    <t>נתבסס על הדיבידנד העתידי הקרוב ביותר - שיחול בעוד שנה. על פי הנתונים, הוא צומח בשיעור 15%.</t>
  </si>
  <si>
    <t>לכן, עלינו לחשב תחילה את הדיבידנד העתידי בעוד שנה בהתחשב בצמיחה, וביחס אליו ליישם את נוסחת</t>
  </si>
  <si>
    <t>החילוץ של מחיר ההון העצמי:</t>
  </si>
  <si>
    <t>תחילה נחשב את מחיר הדיבידנד העתידי הקרוב:</t>
  </si>
  <si>
    <t>מה עשינו פה ולמה? תמחור מניה וגם חילוץ r המתבסס עליה מביאים בחשבון את הדיבידנד העתידי הקרוב ביותר.</t>
  </si>
  <si>
    <t>בנתוני השאלה, הדיבידנד האחרון היה אתמול - והמשמעות - העתידי הקרוב עוד שנה (אלא אם יש נתון סותר).</t>
  </si>
  <si>
    <t xml:space="preserve">הדיבידנד בשנה הבאה כולל צמיחה של שנה אחת נוספת - לכן כפלנו ב-1 ועוד צמיחה. </t>
  </si>
  <si>
    <t>ולבסוף נשתמש בנוסחת חילוץ שיעור התשואה הנדרש ע״י הבעלים:</t>
  </si>
  <si>
    <t>שאלה 16 - מכפיל הרווח</t>
  </si>
  <si>
    <t xml:space="preserve">חברה שילמה אתמול דיבידנד בסך 50 אגורות מתוך רווח של 2 ש״ח למניה, והיא צפויה לשלם דיבידנד </t>
  </si>
  <si>
    <t xml:space="preserve">בסכום של 55 אגורות בשנה הבאה. הדיבידנד צמח בשנים האחרונות בשיעור 10% לשנה והוא צפוי </t>
  </si>
  <si>
    <t>להמשיך לצמוח בשיעור זה בעתיד הנראה לעין. שיעור התשואה הנדרש על ידי בעלי המניות הוא 15%.</t>
  </si>
  <si>
    <t>א. מהו מחיר המניה בשוק היום.</t>
  </si>
  <si>
    <r>
      <t xml:space="preserve">ב. מהי תשואת הדיבידנד </t>
    </r>
    <r>
      <rPr>
        <b/>
        <sz val="12"/>
        <color theme="1"/>
        <rFont val="David"/>
      </rPr>
      <t>הצפויה (עתידית)</t>
    </r>
    <r>
      <rPr>
        <sz val="12"/>
        <color theme="1"/>
        <rFont val="David"/>
      </rPr>
      <t xml:space="preserve"> למשקיע במניה היום.</t>
    </r>
  </si>
  <si>
    <t>ג. מהו מכפיל הרווח.</t>
  </si>
  <si>
    <t xml:space="preserve">הגדרה רלוונטית - מכפיל הרווח למניה הוא היחס בין מחיר המניה לבין הרווח למניה. </t>
  </si>
  <si>
    <t>מכפיל הרווח למניה (Price to Earning ratio), מחושב על בסיס היסטורי אלא אם נאמר אחרת</t>
  </si>
  <si>
    <t>הרווח למניה בשנת הדיווח האחרונה שחלפה</t>
  </si>
  <si>
    <t>הדיבידנד העתידי הקרוב ביותר</t>
  </si>
  <si>
    <t>שיעור תשואה נדרש ע״י בעלים</t>
  </si>
  <si>
    <t>שיעור צמיחה</t>
  </si>
  <si>
    <t>מחיר מניה</t>
  </si>
  <si>
    <t>כאשר המטרה היא לחשב מחיר מניה על בסיס נתוני דיבידנדים (בשונה מחילוץ מחיר מניה על בסיס תשואת דיבידנד),</t>
  </si>
  <si>
    <t>תמיד נתייחס להיוון הדיבידנדים העתידיים (והדיבידנד במונה הנוסחה יהיה הדיבידנד העתידי הקרוב ביותר).</t>
  </si>
  <si>
    <r>
      <t xml:space="preserve">פתרון סעיף ב - מהי תשואת הדיבידנד </t>
    </r>
    <r>
      <rPr>
        <b/>
        <sz val="12"/>
        <color theme="1"/>
        <rFont val="David"/>
      </rPr>
      <t>העתידית</t>
    </r>
    <r>
      <rPr>
        <sz val="12"/>
        <color theme="1"/>
        <rFont val="David"/>
      </rPr>
      <t xml:space="preserve"> / </t>
    </r>
    <r>
      <rPr>
        <b/>
        <sz val="12"/>
        <color theme="1"/>
        <rFont val="David"/>
      </rPr>
      <t>הצפויה</t>
    </r>
    <r>
      <rPr>
        <sz val="12"/>
        <color theme="1"/>
        <rFont val="David"/>
      </rPr>
      <t xml:space="preserve"> למי שמשקיע במניה היום?</t>
    </r>
  </si>
  <si>
    <t>תשואת דיבידנד</t>
  </si>
  <si>
    <t>לעומת זאת:</t>
  </si>
  <si>
    <t>אם ביקשו מפורשות תשואת דיבידנד צפויה</t>
  </si>
  <si>
    <t xml:space="preserve">היסטורית </t>
  </si>
  <si>
    <t>נצטרך לקחת את הדיבידנד העתידי הקרוב</t>
  </si>
  <si>
    <r>
      <t xml:space="preserve">או: </t>
    </r>
    <r>
      <rPr>
        <b/>
        <sz val="12"/>
        <color theme="1"/>
        <rFont val="David"/>
      </rPr>
      <t>ברירת מחדל</t>
    </r>
  </si>
  <si>
    <t>ואותו נחלק במחיר המניה היום</t>
  </si>
  <si>
    <t xml:space="preserve">הדיבידנד יהיה </t>
  </si>
  <si>
    <t>הדיבידנד האחרון / של אתמול</t>
  </si>
  <si>
    <t>חלקי מחיר המניה היום</t>
  </si>
  <si>
    <t>זו גם הגישה שליוותה אותנו</t>
  </si>
  <si>
    <t>בחילוץ בשאלה 10א לעיל</t>
  </si>
  <si>
    <t>פתרון סעיף ג:</t>
  </si>
  <si>
    <t>רווח למניה</t>
  </si>
  <si>
    <t xml:space="preserve">מכפיל הרווח </t>
  </si>
  <si>
    <t>מכפיל הרווח מחושב לפי היחס בין מחיר המניה היום לבין הרווח למניה אשר דווח בשנת הדיווח האחרונה.</t>
  </si>
  <si>
    <t>זהו סוג של מדד הבוחן את תקופת הזמן הצפויה להחזר ההשקעה (עלות המניה) בהנחה שהרווח למניה יוותר קבוע.</t>
  </si>
  <si>
    <t>שאלה 17 - מכפיל הרווח</t>
  </si>
  <si>
    <t>מנית חברה נסחרת היום ב-40 דולר מה שמשקף לה שווי שוק של 40,000 דולר. בדוחותיה האחרונים</t>
  </si>
  <si>
    <t>דיווחה החברה על רווח של 5 דולר למניה (שנת 2020), לעומת הערכות האנליסטים לרווח לשנת 2021 של 10 דולר</t>
  </si>
  <si>
    <t>למניה.</t>
  </si>
  <si>
    <t>חשבו את מכפיל הרווח של החברה על בסיס היסטורי ועתידי.</t>
  </si>
  <si>
    <t>,</t>
  </si>
  <si>
    <t xml:space="preserve">כברירת מחדל: </t>
  </si>
  <si>
    <t>אם ביקשו מפורשות:</t>
  </si>
  <si>
    <r>
      <t xml:space="preserve">משתמשים ב - EPS </t>
    </r>
    <r>
      <rPr>
        <b/>
        <sz val="12"/>
        <color theme="1"/>
        <rFont val="David"/>
      </rPr>
      <t>היסטורי</t>
    </r>
  </si>
  <si>
    <r>
      <t xml:space="preserve">מכפיל רווח על בסיס </t>
    </r>
    <r>
      <rPr>
        <b/>
        <sz val="12"/>
        <color theme="1"/>
        <rFont val="David"/>
      </rPr>
      <t>עתידי / צפוי</t>
    </r>
  </si>
  <si>
    <t>של שנת הדיווח האחרונה</t>
  </si>
  <si>
    <t>אז נשתמש ב - EPS צפוי עתידי</t>
  </si>
  <si>
    <t>שכבר חלפה</t>
  </si>
  <si>
    <t>שאלה 18 - משמעות המכפיל</t>
  </si>
  <si>
    <t>המכפיל של מניה א הוא 15 ושל מניה ב הוא 9. האם לפי נתון זה לבדו ניתן לקבוע איזו מניה עדיף לרכוש?</t>
  </si>
  <si>
    <t>ככלל - התשובה שלילית, אלא אם מדובר בחברות דומות, הפועלות באותו ענף, חשופות לאותו סיכון, ומפגינות</t>
  </si>
  <si>
    <t xml:space="preserve">צמיחה בשיעורים דומים. </t>
  </si>
  <si>
    <t>שאלה 19 - PVGO</t>
  </si>
  <si>
    <t>מחיר השוק של מניה הוא 10 ש״ח. מחיר ההון העצמי הוא 10% והרווח למניה הוא 0.8 ש״ח למניה.</t>
  </si>
  <si>
    <t>א. מהו ה - PVGO.</t>
  </si>
  <si>
    <t>ב. מהו האחוז מתוך ערך המניה הנובע מהזדמנויות צמיחה? כלומר מהו אחוז הפובוגו (PVGO).</t>
  </si>
  <si>
    <r>
      <t xml:space="preserve">ה - </t>
    </r>
    <r>
      <rPr>
        <b/>
        <sz val="12"/>
        <color theme="1"/>
        <rFont val="David"/>
      </rPr>
      <t>PVGO</t>
    </r>
    <r>
      <rPr>
        <sz val="12"/>
        <color theme="1"/>
        <rFont val="David"/>
      </rPr>
      <t xml:space="preserve"> שנקרא בשמו המלא Present Value of Growth Opportunities או בעברית </t>
    </r>
    <r>
      <rPr>
        <b/>
        <sz val="12"/>
        <color theme="1"/>
        <rFont val="David"/>
      </rPr>
      <t xml:space="preserve">״הערך הנוכחי של </t>
    </r>
  </si>
  <si>
    <r>
      <rPr>
        <b/>
        <sz val="12"/>
        <color theme="1"/>
        <rFont val="David"/>
      </rPr>
      <t>הזדמנויות הצמיחה״</t>
    </r>
    <r>
      <rPr>
        <sz val="12"/>
        <color theme="1"/>
        <rFont val="David"/>
      </rPr>
      <t xml:space="preserve"> משקף את </t>
    </r>
    <r>
      <rPr>
        <sz val="12"/>
        <color rgb="FFFF0000"/>
        <rFont val="David"/>
      </rPr>
      <t>הגידול בשווי המניה הנובע מהצמיחה התקופתית ברווחים כתוצאה מההשקעות</t>
    </r>
  </si>
  <si>
    <t>החוזרות של הפירמה.</t>
  </si>
  <si>
    <r>
      <t xml:space="preserve">למעשה, בדרך כלל, </t>
    </r>
    <r>
      <rPr>
        <b/>
        <u/>
        <sz val="12"/>
        <color rgb="FF0070C0"/>
        <rFont val="David"/>
      </rPr>
      <t>הדיבידנד</t>
    </r>
    <r>
      <rPr>
        <b/>
        <sz val="12"/>
        <color rgb="FF0070C0"/>
        <rFont val="David"/>
      </rPr>
      <t xml:space="preserve"> נמוך יותר </t>
    </r>
    <r>
      <rPr>
        <b/>
        <u/>
        <sz val="12"/>
        <color rgb="FF0070C0"/>
        <rFont val="David"/>
      </rPr>
      <t>מהרווח למניה</t>
    </r>
    <r>
      <rPr>
        <b/>
        <sz val="12"/>
        <color rgb="FF0070C0"/>
        <rFont val="David"/>
      </rPr>
      <t xml:space="preserve"> - והסיבה לכך היא </t>
    </r>
    <r>
      <rPr>
        <b/>
        <u/>
        <sz val="12"/>
        <color rgb="FF0070C0"/>
        <rFont val="David"/>
      </rPr>
      <t>היכולת להשקיע את הסכומים העודפים</t>
    </r>
    <r>
      <rPr>
        <b/>
        <sz val="12"/>
        <color rgb="FF0070C0"/>
        <rFont val="David"/>
      </rPr>
      <t>,</t>
    </r>
  </si>
  <si>
    <t>להניב מהם ערך ולהגדיל את מחיר המניה.</t>
  </si>
  <si>
    <t>אנו נעסוק ביישומים של הדיון הנ״ל. ובמסגרת זאת נטען:</t>
  </si>
  <si>
    <t>PS(NO Growth)</t>
  </si>
  <si>
    <t>הוא מחיר המניה ללא צמיחה</t>
  </si>
  <si>
    <t>הוא הרווח למניה - מדוע EPS ולא DIV? כי בהנחת אי צמיחה, כל הרווח למניה EPS מחולק.</t>
  </si>
  <si>
    <t>הוא שיעור התשואה הנדרש על ידי הבעלים (מדוע אין g? כי בהגדרה זה מחיר ללא צמיחה חחח)</t>
  </si>
  <si>
    <t>אנו למעשה טוענים שכשאין צמיחה, מחלקים את כל הרווח למניה כדיבידנד. ולכן היוונו (ללא צמיחה כמובן)</t>
  </si>
  <si>
    <t>מהווה את מחיר המניה.</t>
  </si>
  <si>
    <t>בנוסף:</t>
  </si>
  <si>
    <t>PVGO</t>
  </si>
  <si>
    <t>הערך הנוכחי של הדמנויות הצמיחה</t>
  </si>
  <si>
    <t>מחיר המניה ״עם צמיחה״ (נתון)</t>
  </si>
  <si>
    <t xml:space="preserve">כלומר, הערך הנוכחי של הזדמנויות הצמיחה הוא ההפרש בין מחיר המניה כרגע (המשקף ניצול צפוי של </t>
  </si>
  <si>
    <t>השקעות והזדמנות צמיחה) לבין מחיר המניה התיאורטי בהנחת היעדר צמיחה.</t>
  </si>
  <si>
    <t>לפי נתוני השאלה, מחיר המניה היום הוא 10 ש״ח:</t>
  </si>
  <si>
    <t>כדי לגלות לכמה ירד מחיר המניה במידה והחברה מפסיקה להשקיע, נחשב את PS NO GROWTH:</t>
  </si>
  <si>
    <t>הערה: שיעור תשואה נדרש ע״י הבעלים = מחיר ההון העצמי.</t>
  </si>
  <si>
    <t>לבסוף, ה - PVGO הוא ההפרש בין מחיר המניה הרגיל (עם צמיחה) לבין מחיר המניה ללא צמיחה:</t>
  </si>
  <si>
    <t>פתרון סעיף ב: שיעור ה - PVGO ושיעור השווי הנובע מהזדמנויות הצמיחה:</t>
  </si>
  <si>
    <t>כל מה שצריך לעשות זה לחשב את היחס בין PVGO לבין מחיר המניה הנתון.</t>
  </si>
  <si>
    <t>שאלה 20 - PVGO מורכב</t>
  </si>
  <si>
    <t>חברה נוהגת לחלק 80% מרווחיה והשאר מושקע בחברה. להלן נתונים בדבר הרווח השנתי למניה:</t>
  </si>
  <si>
    <t>רווח למניה באגורות</t>
  </si>
  <si>
    <t>שיעור התשואה הנדרש על ידי בעלי המניות הוא 10%.</t>
  </si>
  <si>
    <t>א. מהו שווי המניה היום. הניחו כי ״היום״ = 1.1.2022. (הדרכה: חשבו תחילה את שיעור הצמיחה על בסיס נתוני</t>
  </si>
  <si>
    <t xml:space="preserve">    השינוי ברווח למניה, והשתמשו בו לחישוב מחיר המניה בנוסחה הרגילה).</t>
  </si>
  <si>
    <t>ב. מהו ה - PVGO ? לצורך חישובו התייחסו לרווח הבסיס למניה כפי שנקבע ב-2018.</t>
  </si>
  <si>
    <t>אני נמצא היום</t>
  </si>
  <si>
    <t>כאן: 1.1.2022</t>
  </si>
  <si>
    <t>רווח למניה באגורות - EPS</t>
  </si>
  <si>
    <t>צמיחה שנתית ברווח למניה (*)</t>
  </si>
  <si>
    <t>כפול אחת ועוד צמיחה</t>
  </si>
  <si>
    <t>נתון:</t>
  </si>
  <si>
    <t>הרווח למניה בתקופה הקודמת:</t>
  </si>
  <si>
    <t>כדי לגלות הדיבידנד</t>
  </si>
  <si>
    <t>מחולק 80%</t>
  </si>
  <si>
    <t>כלומר EPS2021</t>
  </si>
  <si>
    <t>בשנה הבאה 2022</t>
  </si>
  <si>
    <t>בלבד</t>
  </si>
  <si>
    <t>את הצמיחה השנתית ברווח למניה - חישבנו בכל שנה לפי היחס בין הרווח למניה בשנה מסויימת</t>
  </si>
  <si>
    <t xml:space="preserve">לבין הרווח למניה בשנה הקודמת - פחות אחת. </t>
  </si>
  <si>
    <t>פתרון סעיף ב: נדרש לחשב את PVGO. לצורך חישובו, התבססו על EPS מייצג בתור זה של 2018.</t>
  </si>
  <si>
    <t>ה- PVGO מייצג את חלק השווי הנובע מהשקעות חוזרות. אם החברה היתה מחלקת את כל ה EPS כדיבידנד,</t>
  </si>
  <si>
    <t xml:space="preserve">השווי של המניה היה יורד מ-643 ל-500, קרי קיטון בגובה ה PVGO בגובה 143. </t>
  </si>
  <si>
    <t>שאלה 21 - מחיר ההון העצמי בגישה אלטרנטיבית</t>
  </si>
  <si>
    <t xml:space="preserve">חברה צפויה לשלם דיבידנד של 10 ש״ח בשנה הבאה שצפוי לצמוח בשיעור 5% לשנה. </t>
  </si>
  <si>
    <t>מחיר השוק של המניה היום הוא 50 ש״ח עם ביטא של 2.</t>
  </si>
  <si>
    <t>התשואה הצפויה על תיק השוק היא 10%, והריבית נטולת הסיכון 3%.</t>
  </si>
  <si>
    <t>א. העריכו את שיעור התשואה הנדרש על ידי בעלי המניות בעזרת מודל צמיחת הדיבידנד.</t>
  </si>
  <si>
    <t>ב. העריכו את שיעור התשואה הנדרש על ידי בעלי המניות באמצעות מודל המחרה לניירות ערך.</t>
  </si>
  <si>
    <t>פתרון סעיף ב:</t>
  </si>
  <si>
    <t>לפי מודל המחרה לניירות ערך (CAPM) התשואה שדורשים בעלי מניות מורכבת מריבית נטולת סיכון בתוספת פרמיית</t>
  </si>
  <si>
    <t>סיכון. פרמיית סיכון המסומנת כ״ביטא״.</t>
  </si>
  <si>
    <t>ריבית חסרת סיכון</t>
  </si>
  <si>
    <t>תוחלת תשואת תיק השוק = התשואה הצפויה על תיק השוק</t>
  </si>
  <si>
    <t>beta</t>
  </si>
  <si>
    <t>הביטא (מדד סיכון)</t>
  </si>
  <si>
    <t>שאלה 22 - מחיר ההנפקה עבור מניה בגישת המכפיל</t>
  </si>
  <si>
    <t>הנכם מעוניינים להעריך שווי מניה בגישת מכפיל הרווח. לשם כך אספתם נתונים לגבי חברות דומות</t>
  </si>
  <si>
    <t>אשר ממוצע מכפילי הרווח שלהן ראוי לייצג ערך ענפי של מכפיל הרווח לצורך התמחור.</t>
  </si>
  <si>
    <t>חברה 1</t>
  </si>
  <si>
    <t>חברה 2</t>
  </si>
  <si>
    <t>חברה 3</t>
  </si>
  <si>
    <t>חדשה מונפקת</t>
  </si>
  <si>
    <t>רווח נקי במיליונים</t>
  </si>
  <si>
    <t>מס׳ המניות</t>
  </si>
  <si>
    <t>שווי השוק - מניה אחת</t>
  </si>
  <si>
    <t>מהו מחיר ההנפקה למניה החדשה - לפי גישת מכפיל הרווח לתמחור מניות?</t>
  </si>
  <si>
    <r>
      <t xml:space="preserve">עוד לפני שניגש לתהליך השלם של תמחור המניה, ניזכר </t>
    </r>
    <r>
      <rPr>
        <u/>
        <sz val="12"/>
        <color theme="1"/>
        <rFont val="David"/>
      </rPr>
      <t>בהגדרת המכפיל</t>
    </r>
    <r>
      <rPr>
        <sz val="12"/>
        <color theme="1"/>
        <rFont val="David"/>
      </rPr>
      <t xml:space="preserve"> ונחשבו עבור כל אחת מהחברות:</t>
    </r>
  </si>
  <si>
    <t>רווח נקי במיליונים - נתון</t>
  </si>
  <si>
    <t>מס׳ המניות - נתון</t>
  </si>
  <si>
    <t>שווי השוק - מניה אחת-נתון</t>
  </si>
  <si>
    <r>
      <t xml:space="preserve">רווח למניה בש״ח </t>
    </r>
    <r>
      <rPr>
        <b/>
        <sz val="10"/>
        <color theme="1"/>
        <rFont val="David"/>
      </rPr>
      <t>EPS</t>
    </r>
    <r>
      <rPr>
        <sz val="10"/>
        <color theme="1"/>
        <rFont val="David"/>
      </rPr>
      <t xml:space="preserve"> - רווח נקי חלקי מס׳ מניות</t>
    </r>
  </si>
  <si>
    <t>מכפיל רווח PE</t>
  </si>
  <si>
    <t>PE=PS/EPS</t>
  </si>
  <si>
    <t>מכפיל רווח ממוצע</t>
  </si>
  <si>
    <r>
      <t xml:space="preserve">שווי החברה החדשה - לפי </t>
    </r>
    <r>
      <rPr>
        <b/>
        <u/>
        <sz val="12"/>
        <color theme="1"/>
        <rFont val="David"/>
      </rPr>
      <t>מכפיל הרווח הממוצע של המתחרים</t>
    </r>
    <r>
      <rPr>
        <b/>
        <sz val="12"/>
        <color theme="1"/>
        <rFont val="David"/>
      </rPr>
      <t xml:space="preserve"> כפול </t>
    </r>
    <r>
      <rPr>
        <b/>
        <u/>
        <sz val="12"/>
        <color theme="1"/>
        <rFont val="David"/>
      </rPr>
      <t>הרווח למניה</t>
    </r>
    <r>
      <rPr>
        <b/>
        <sz val="12"/>
        <color theme="1"/>
        <rFont val="David"/>
      </rPr>
      <t xml:space="preserve"> בחברת היעד / המונפקת:</t>
    </r>
  </si>
  <si>
    <t xml:space="preserve">0.1 * 14.67 = </t>
  </si>
  <si>
    <t>שאלה 23 - ריבוי נתונים</t>
  </si>
  <si>
    <t>להלן הדיבידנדים ששילמה חברה מסוימת בשנים האחרונות:</t>
  </si>
  <si>
    <t>רבעון</t>
  </si>
  <si>
    <t>ערך שנתי</t>
  </si>
  <si>
    <r>
      <t xml:space="preserve">א. חשבו את שיעור הצמיחה השנתי בדיבידנד. הדרכה: חשבו את היחס בין הדיבידנד </t>
    </r>
    <r>
      <rPr>
        <b/>
        <sz val="12"/>
        <color theme="1"/>
        <rFont val="David"/>
      </rPr>
      <t>השנתי</t>
    </r>
    <r>
      <rPr>
        <sz val="12"/>
        <color theme="1"/>
        <rFont val="David"/>
      </rPr>
      <t xml:space="preserve"> האחרון </t>
    </r>
  </si>
  <si>
    <t xml:space="preserve">בנתוני הסדרה, לנתון הדיבידנד הראשון. כך תקבלו צמיחה כוללת בדיבידנד לכל התקופה - 3 שנים. לאחר </t>
  </si>
  <si>
    <t>מכן תאמו את התקופה לשנה אחת.</t>
  </si>
  <si>
    <t>ב. מה צפוי להיות הדיבידנד השנתי למניה בשנה הבאה (זו שמתחילה ברבעון 17)?</t>
  </si>
  <si>
    <t>הדרכה: כפלו את הדיבידנד השנתי האחרון ב-1 בתוספת שיעור הצמיחה שזיהיתם בסעיף א.</t>
  </si>
  <si>
    <t>ג. אם מחיר ההון העצמי של החברה הוא 10%, מה יהא מחיר המניה בשוק היום (רגע לאחר הדיבידנד בזמן 16)?</t>
  </si>
  <si>
    <t>שימו לב: לצורך פתרון סעיף ג עליכם להניח כי שיעור הצמיחה בדיבידנדים יישאר קבוע לאחר זמן 16 לנצח.</t>
  </si>
  <si>
    <t>תחילה - שיעור הצמיחה לכל התקופה - היחס בין הדיבידנד השנתי האחרון הנתון, חלקי הדיבידנד השנתי הראשון הנתון,</t>
  </si>
  <si>
    <t>פחות אחת:</t>
  </si>
  <si>
    <t>כך קיבלנו צמיחה לכל התקופה, שכאן היא 3 שנים. כעת נתאם עם חזקה מתאימה משלוש שנים לשנה - חזקת 1/3:</t>
  </si>
  <si>
    <t>ביקשו שנחשב את הדיבידנד הבא, שהוא הדיבידנד האחרון הידוע, מוכפל ב-1 ועוד שיעור הצמיחה:</t>
  </si>
  <si>
    <t>ביקשו שנתמחר את המניה:</t>
  </si>
  <si>
    <t>מימון מתקדם לחשבונאים - הרצאה 8 - מחיר ההון</t>
  </si>
  <si>
    <t xml:space="preserve">כחשבונאים וחשבונאיות אנו מודעים היטב לעובדה לפיה פירמות ממומנות בתמהיל של הון עצמי מצד אחד (מניות, </t>
  </si>
  <si>
    <t xml:space="preserve">אך גם מכשירים הוניים נוספים) והון זר מן הצד השני (התחייבויות, כגון הלוואות ואג״ח). </t>
  </si>
  <si>
    <t>מערך הסיכונים של השקעה בהון עצמי לעומת השקעה בהון זר שונה; משקיעי הון זר מקבלים תשואה מובטחת</t>
  </si>
  <si>
    <t>להוציא התרחיש הקיצוני של חדלות פירעון, וגם עדיפות / קדימות במקרה של פירוק. לעומת זאת, היתרון של בעלי</t>
  </si>
  <si>
    <t xml:space="preserve">ההון העצמי הוא פוטנציאל תשואה שאיננו מוגבל לערך קבוע מראש. </t>
  </si>
  <si>
    <t>במלים אחרות ופשוטות: החברה ממומנת בהון עצמי שמסוכן למשקיעים ולכן עלותו / התשואה הנדרשת בגינו</t>
  </si>
  <si>
    <t>גבוהה יחסית (מחיר ההון העצמי גבוה יחסית), וכן בהון זר שפחות מסוכן למשקיעים ולכן עלותו / התשואה הנדרשת</t>
  </si>
  <si>
    <t>בגינו נמוכה יחסית (מחיר ההון הזר נמוך יחסית).</t>
  </si>
  <si>
    <t>פרט לעובדה זו, נצטרך לתת ביטוי להשפעת דרגת המינוף הפיננסי (שיעור ההתחייבויות ביחס לסך המשאבים)</t>
  </si>
  <si>
    <t>נוסחאות:</t>
  </si>
  <si>
    <t>נוסחה (1) - מחיר ההון העצמי - נוסחת מודל תמחור נכסי הון:</t>
  </si>
  <si>
    <t>r = KE</t>
  </si>
  <si>
    <t>E(M)-RF</t>
  </si>
  <si>
    <t>פרמיית הסיכון על תיק השוק</t>
  </si>
  <si>
    <t>מדד הסיכון השיטתי בחברה, ואם איננו ידוע - נתבסס על ממוצע ענפי / חברות דומות</t>
  </si>
  <si>
    <t>נוסחה (2) - מחיר ההון המשוקלל / הכולל / של החברה / WACC:</t>
  </si>
  <si>
    <t>WACC</t>
  </si>
  <si>
    <t>kE</t>
  </si>
  <si>
    <t>מחיר ההון העצמי / התשואה הנדרשת על ידי בעלי המניות באחוזים (ה - r של נוסחה 1)</t>
  </si>
  <si>
    <t>kD</t>
  </si>
  <si>
    <t>מחיר ההון הזר / ריבית אפקטיבית על החוב / שיעור תשואה לפדיון באג״ח</t>
  </si>
  <si>
    <t>שווי ההון העצמי בש״ח, ניתן לחישוב על בסיס שווי מניה מוכפל במספר המניות</t>
  </si>
  <si>
    <t>שווי החוב, ניתן לחישוב על בסיס שווי יחידת אג״ח מוכפל במספר אגרות החוב</t>
  </si>
  <si>
    <t>V = E + D</t>
  </si>
  <si>
    <t>השווי הכולל של החברה: סיכום שווי ההון העצמי E עם שווי ההון הזר D</t>
  </si>
  <si>
    <t>t</t>
  </si>
  <si>
    <t>שיעור מס החברות באחוזים</t>
  </si>
  <si>
    <t>טיפים נוספים:</t>
  </si>
  <si>
    <t>אם מחיר ההון העצמי לא ידוע (kE) ניתן לחשבו על בסיס:</t>
  </si>
  <si>
    <t>חילוץ מנוסחת תמחור מניה</t>
  </si>
  <si>
    <t>Ps = Div/(kE - g)</t>
  </si>
  <si>
    <t>וכמובן על בסיס נוסחה (1) בעמוד זה (מודל המחרת נכסים והקשר לביטא).</t>
  </si>
  <si>
    <t>(**)</t>
  </si>
  <si>
    <t xml:space="preserve">אם מחיר ההון הזר לא ידוע (kD) והאג״ח היא קונסול / נצחית, היחס בין סך התשלום של הקופון </t>
  </si>
  <si>
    <t xml:space="preserve">לבין שווי האג״ח, הוא שיעור התשואה לפדיון שמהווה את מחיר ההון הזר kD. </t>
  </si>
  <si>
    <t>שאלה 1 - מחיר ההון העצמי והסקת ביטא על בסיס חברות אחרות</t>
  </si>
  <si>
    <t>חברת ״תמיר שמפניון״ בע״מ (להלן: ״החברה״) ממומנת בהון עצמי בלבד, פועלת במדינה ללא מסים, והיא בעלת</t>
  </si>
  <si>
    <t>גם הן בהון עצמי בלבד:</t>
  </si>
  <si>
    <t>שם החברה</t>
  </si>
  <si>
    <t>ביטא</t>
  </si>
  <si>
    <t>עדן תות</t>
  </si>
  <si>
    <t>עדן שובין</t>
  </si>
  <si>
    <t>יובל פירות</t>
  </si>
  <si>
    <t>נועה קלי</t>
  </si>
  <si>
    <t>סתיו ללי</t>
  </si>
  <si>
    <t>בנוסף ידוע כי הריבית נטולת הסיכון היא בשיעור 5% לשנה, פרמיית הסיכון על תיק השוק היא 10% לשנה ויש</t>
  </si>
  <si>
    <t>להתעלם ממסים.</t>
  </si>
  <si>
    <t xml:space="preserve">מהו מחיר ההון שבו יש להוון את תזרימי המזומנים הצפויים מהפרויקט בתחום הפעילות החדש. </t>
  </si>
  <si>
    <t>תמצית שלבי עבודה:</t>
  </si>
  <si>
    <t>שלב 3: איתור נוסחה מתאימה - נוסחה (1) לעיל.</t>
  </si>
  <si>
    <t>שלב 4: ״תקועים״ כי הביטא לא נתונה - אבל בהחלט אפשר להתבסס על ממוצע הביטאות בחברות מקבילות.</t>
  </si>
  <si>
    <t>יישום החישוב:</t>
  </si>
  <si>
    <t>ראשית: מדובר בחברה שבה הון עצמי בלבד. בהינתן עובדה זו, מחיר ההון הרלוונטי הוא מחיר ההון העצמי (נוסחה 1)</t>
  </si>
  <si>
    <t xml:space="preserve">ולא מחיר ההון המשוקלל (נוסחה 2, שמתאימה למקרים מורכבים יותר, שבהם קיימות גם התחייבויות). </t>
  </si>
  <si>
    <t>kE = RF + [E(M) - RF] * β</t>
  </si>
  <si>
    <r>
      <rPr>
        <sz val="12"/>
        <color theme="0"/>
        <rFont val="David"/>
      </rPr>
      <t>,</t>
    </r>
    <r>
      <rPr>
        <sz val="12"/>
        <color theme="1"/>
        <rFont val="David"/>
      </rPr>
      <t>(1)</t>
    </r>
  </si>
  <si>
    <t xml:space="preserve">שנית: יש לשים לב שהביטא צריכה להתאים לתחום הפעילות הרלוונטי. בשאלה הנדונה נאמר שהביטא הנוכחית </t>
  </si>
  <si>
    <t xml:space="preserve">של החברה, בתחום הפעילות הקיים, היא 2. אך בנוסף נאמר שהחברה בוחנת כניסה לתחום פעילות חדש. </t>
  </si>
  <si>
    <t>בתחום חדש זה, לא נוכל להניח / להסיק שהביטא זהה וערכה 2 - ואם אין נתון מפורש לגביה - ניעזר באומדן</t>
  </si>
  <si>
    <t>הביטא לתחום הפעילות החדש שהוא הממוצע המשוקלל של ערכי הביטא של החברות הפועלות בענף.</t>
  </si>
  <si>
    <t>ממוצע ביטא בענף החדש - לטובת הצבה:</t>
  </si>
  <si>
    <t>כלומר - במקרה זה: תחום הפעילות החדש מסוכן יותר, ביטא מייצגת גבוהה יותר, כמובן ישפיע על מחיר ההון</t>
  </si>
  <si>
    <t>הרלוונטי לפעילות המסוכנת הנדונה.</t>
  </si>
  <si>
    <t>נחזור לנוסחה (1):</t>
  </si>
  <si>
    <t xml:space="preserve">kE = 5% +10% * 3.4 = </t>
  </si>
  <si>
    <t>הרחבה / מקרא:</t>
  </si>
  <si>
    <t xml:space="preserve">מחיר ההון העצמי (עבור הפעילות החדשה = הנדרש). </t>
  </si>
  <si>
    <t>ריבית חסרת סיכון. נתונה בשאלה לפי שיעור של 5%.</t>
  </si>
  <si>
    <t>E(M) - RF</t>
  </si>
  <si>
    <t>פרמיית הסיכון על השוק. ערך הנתון לפי 10% בשאלה.</t>
  </si>
  <si>
    <t>ביטא - רמת סיכון רלוונטית לתחום הפעילות הנדון - חושבה כערך מייצג 3.4</t>
  </si>
  <si>
    <t>השאלה אמנם שאלה ״מה מחיר ההון שבו נהוון את תזרימי המזומנים מהפעילות החדשה״ אבל התשובה כמובן זהה</t>
  </si>
  <si>
    <t xml:space="preserve">והנה 39%, כי כל פרויקט שונה / בתחום חדש יהוון במחיר ההון הספציפי הראוי לו שחושב לעיל. </t>
  </si>
  <si>
    <t>שאלה 2 - מחיר ההון העצמי והיוון תזרימי המזומנים לפיו כדי לחשב את שווי הפירמה</t>
  </si>
  <si>
    <t>חברת ״בילי קצת״ (להלן: ״החברה״) צפויה להניב תוחלת תזרים מזומנים שנתית של 12,000,000 ש״ח</t>
  </si>
  <si>
    <t>בכל אחת מ-5 השנים הבאות. לאחר מכן, תוחלת התזרים השנתית צפויה להיות 14,000,000 ש״ח, לתקופה</t>
  </si>
  <si>
    <t xml:space="preserve">בלתי מוגבלת. </t>
  </si>
  <si>
    <t xml:space="preserve">בנוסף ידוע כי הביטא של החברה היא 1.5, הריבית חסרת הסיכון היא 5% ותוחלת התשואה הנדרשת על תיק </t>
  </si>
  <si>
    <t>השוק היא 15%.</t>
  </si>
  <si>
    <t>נדרש: מהו שווי החברה?</t>
  </si>
  <si>
    <t>שלב 1: זיהוי סוג החברה - ממומנת בהון עצמי בלבד.</t>
  </si>
  <si>
    <t xml:space="preserve">שלב 3: איתור נוסחה מתאימה - נוסחה (1) לעיל, משום שמחיר ההון זהה למחיר ההון העצמי (אין חוב). </t>
  </si>
  <si>
    <t>שלב 4: היוון תזרימי המזומנים, כולל התאמות מתבקשות וחישוב השווי בתור סך התוצאה.</t>
  </si>
  <si>
    <t xml:space="preserve">שווי חברה הוא הערך הנוכחי של תזרימי המזומנים שהחברה צפויה להניב למשקיעיה בעתיד. </t>
  </si>
  <si>
    <t>הריבית להיוון היא כמובן מחיר ההון העצמי (כי אין כאן הון זר) שתחושב לפי נוסחה 1:</t>
  </si>
  <si>
    <t>מחיר הון עצמי = מחיר</t>
  </si>
  <si>
    <t xml:space="preserve">kE = 5% + [15% - 5%] * 1.5 = </t>
  </si>
  <si>
    <t>הון כולל כי אין כאן הון זר!</t>
  </si>
  <si>
    <t>עכשיו - כל שצריך לעשות הוא להוון (NPV) את תזרימי המזומנים במחיר ההון הזה כדי להגיע לשווי.</t>
  </si>
  <si>
    <t>ביטוי האינסוף</t>
  </si>
  <si>
    <t>זמן 6 ואילך</t>
  </si>
  <si>
    <t>שווי החברה על בסיס NPV של עמודת סה״כ:</t>
  </si>
  <si>
    <t>תשובתי הסופית = שווי החברה</t>
  </si>
  <si>
    <t>שאלה 3 - מחיר ההון הממוצע המשוקלל WACC וחילוץ ערכים על בסיס שילוב נוסחאות מניות</t>
  </si>
  <si>
    <t>חברת ״קיר בדד״ (להלן: ״החברה״) ממומנת על ידי 5,000,000 מניות וכן אגרות חוב ששווי השוק שלהן 100,000,000 ש״ח.</t>
  </si>
  <si>
    <t xml:space="preserve">מחירן של אגרות החוב משקף שיעור תשואה של 10%. </t>
  </si>
  <si>
    <t>מחיר ההון העצמי הנו 20% וידוע שהחברה צפויה לשלם דיבידנד בסך של 12 ש״ח למניה בשנה הבאה, והוא יצמח</t>
  </si>
  <si>
    <t xml:space="preserve">בשיעור של 5% בעתיד הנראה לעין. </t>
  </si>
  <si>
    <t xml:space="preserve">כמו כן, ידוע כי שיעור מס החברות הנו 23%. </t>
  </si>
  <si>
    <t xml:space="preserve">נדרש: </t>
  </si>
  <si>
    <t>א. מהו מחיר ההון הממוצע המשוקלל WACC של החברה?</t>
  </si>
  <si>
    <t>ב. האם כדאי לבצע פרויקט הדורש השקעה של 400,000 ש״ח ויניב תזרים חיובי בסך 20,000 ש״ח בתום כל שנה</t>
  </si>
  <si>
    <t>במשך 30 שנים? נמקו על בסיס תחשיב רלוונטי.</t>
  </si>
  <si>
    <t>ג. הסבירו באופן כללי כיצד תשתנה תשובתכם לסעיף ב אם ידוע שהפרויקט שכדאיותו מוערכת בסעיף ב הוא בתחום</t>
  </si>
  <si>
    <t>פעילות חדש / שונה לחלוטין, בעל מאפייני סיכון שונים לחלוטין מזה שמאפיין את תחום הפעילות של החברה? אין</t>
  </si>
  <si>
    <t>צורך בחישוב.</t>
  </si>
  <si>
    <t>שלב 1 - זיהוי סוג החברה - ממומנת גם בהון עצמי וגם בחוב.</t>
  </si>
  <si>
    <t xml:space="preserve">שלב 2 - מטרת הנדרש - מחיר ההון הממוצע המשוקלל WACC. </t>
  </si>
  <si>
    <t>שלב 3 - איתור נוסחה מתאימה - נוסחה (2) לעיל, שמתאימה לחברה הממומנת גם בהון עצמי וגם בחוב.</t>
  </si>
  <si>
    <t xml:space="preserve">שלב 4 - חילוץ נעלמים, ובפרט: שווי מניה ושווי הון עצמי על בסיס נתוני השאלה. </t>
  </si>
  <si>
    <t>שלב 5 - השלמת הצבה וסיום.</t>
  </si>
  <si>
    <r>
      <t xml:space="preserve">WACC = </t>
    </r>
    <r>
      <rPr>
        <b/>
        <sz val="12"/>
        <color rgb="FFFF0000"/>
        <rFont val="David"/>
      </rPr>
      <t>kE</t>
    </r>
    <r>
      <rPr>
        <sz val="12"/>
        <color theme="1"/>
        <rFont val="David"/>
      </rPr>
      <t xml:space="preserve"> * (E/V) + </t>
    </r>
    <r>
      <rPr>
        <b/>
        <sz val="12"/>
        <color rgb="FF0070C0"/>
        <rFont val="David"/>
      </rPr>
      <t>kD</t>
    </r>
    <r>
      <rPr>
        <sz val="12"/>
        <color theme="1"/>
        <rFont val="David"/>
      </rPr>
      <t xml:space="preserve"> * (1 - t) * (D/V)</t>
    </r>
  </si>
  <si>
    <t>ידוע:</t>
  </si>
  <si>
    <t>kE (Equity)</t>
  </si>
  <si>
    <r>
      <rPr>
        <b/>
        <sz val="12"/>
        <color theme="1"/>
        <rFont val="David"/>
      </rPr>
      <t>מחיר</t>
    </r>
    <r>
      <rPr>
        <sz val="12"/>
        <color theme="1"/>
        <rFont val="David"/>
      </rPr>
      <t xml:space="preserve"> ההון העצמי:</t>
    </r>
  </si>
  <si>
    <t>kD (Debt)</t>
  </si>
  <si>
    <t>מחיר הון זר / תשואת חוב:</t>
  </si>
  <si>
    <t>שווי החוב / שווי האג״ח:</t>
  </si>
  <si>
    <t>t (taxes)</t>
  </si>
  <si>
    <t>שיעור מס החברות</t>
  </si>
  <si>
    <t>בהצבה מקבלים:</t>
  </si>
  <si>
    <r>
      <t>WACC = 20% * (</t>
    </r>
    <r>
      <rPr>
        <b/>
        <sz val="12"/>
        <color rgb="FFFF0000"/>
        <rFont val="David"/>
      </rPr>
      <t>E</t>
    </r>
    <r>
      <rPr>
        <sz val="12"/>
        <color theme="1"/>
        <rFont val="David"/>
      </rPr>
      <t>/</t>
    </r>
    <r>
      <rPr>
        <b/>
        <sz val="12"/>
        <color rgb="FF0070C0"/>
        <rFont val="David"/>
      </rPr>
      <t>V</t>
    </r>
    <r>
      <rPr>
        <sz val="12"/>
        <color theme="1"/>
        <rFont val="David"/>
      </rPr>
      <t>) + 10% * (1 - 23%) * (100,000,000/</t>
    </r>
    <r>
      <rPr>
        <b/>
        <sz val="12"/>
        <color rgb="FF0070C0"/>
        <rFont val="David"/>
      </rPr>
      <t>V</t>
    </r>
    <r>
      <rPr>
        <sz val="12"/>
        <color theme="1"/>
        <rFont val="David"/>
      </rPr>
      <t>)</t>
    </r>
  </si>
  <si>
    <r>
      <t xml:space="preserve">נעבור לחילוץ </t>
    </r>
    <r>
      <rPr>
        <b/>
        <sz val="12"/>
        <color theme="1"/>
        <rFont val="David"/>
      </rPr>
      <t>שווי</t>
    </r>
    <r>
      <rPr>
        <sz val="12"/>
        <color theme="1"/>
        <rFont val="David"/>
      </rPr>
      <t xml:space="preserve"> ההון העצמי </t>
    </r>
    <r>
      <rPr>
        <b/>
        <sz val="12"/>
        <color rgb="FFFF0000"/>
        <rFont val="David"/>
      </rPr>
      <t>E</t>
    </r>
    <r>
      <rPr>
        <sz val="12"/>
        <color theme="1"/>
        <rFont val="David"/>
      </rPr>
      <t>. זאת על בסיס חישוב שווי מניה אחת (Ps), ולאחר מכן מכפלתו במספר המניות.</t>
    </r>
  </si>
  <si>
    <t>בהקשר זה ידוע כי:</t>
  </si>
  <si>
    <t>הדיבידנד העתידי הקרוב:</t>
  </si>
  <si>
    <t>נתון</t>
  </si>
  <si>
    <t>מחיר ההון העצמי:</t>
  </si>
  <si>
    <t>שיעור הצמיחה הקבוע:</t>
  </si>
  <si>
    <t xml:space="preserve">Ps = 12/(20% - 5%) = </t>
  </si>
  <si>
    <t>שווי ההון העצמי בש״ח - שווי מניה בש״ח מוכפל במספר המניות הנתון 5,000,000:</t>
  </si>
  <si>
    <t>שווי החברה הכולל כהגדרתו V - סיכום שווי ההון העצמי E (שחושב) יחד עם שווי האג״ח D (שנתון בשאלה):</t>
  </si>
  <si>
    <t xml:space="preserve">V = E + D = 400,000,000 + 100,000,000 = </t>
  </si>
  <si>
    <t>נחזור לנוסחת ה - WACC ונשלים אותה:</t>
  </si>
  <si>
    <t>WACC = 20% * (400,000,000/500,000,000) + 10% * (1 - 23%) * (100,000,000/500,000,000)</t>
  </si>
  <si>
    <t xml:space="preserve">WACC = </t>
  </si>
  <si>
    <t>תשובה סופית: מחיר ההון הממוצע המשוקלל הוא 17.54%.</t>
  </si>
  <si>
    <t>פתרון סעיף ב: שווי פרויקט כשמחיר ההון ידוע</t>
  </si>
  <si>
    <t>האם כדאי לבצע פרויקט הדורש השקעה של 400,000 ש״ח ויניב תזרים חיובי בסך 20,000 ש״ח בתום כל שנה</t>
  </si>
  <si>
    <t xml:space="preserve">שלב 1: זיהוי מספר השנים ובהתאם - האם טבלה או PV. </t>
  </si>
  <si>
    <t>שלב 2: זיהוי נקודת הזמן אליה מגיעים.</t>
  </si>
  <si>
    <t>שלב 3: ביצוע התאמות תקופה להיוונים המתבקשים.</t>
  </si>
  <si>
    <t>פתרון סעיף ג: ההשפעה הכללית של שינוי ברמת הסיכון (תיאורטי)</t>
  </si>
  <si>
    <t>ההנחה במסגרת פתרון סעיף ב היתה שמדובר בפרויקט ״כללי״ בתחום פעילות החברה, ומחיר ההון הרלוונטי עבורו יהיה</t>
  </si>
  <si>
    <t>שאלה 4 - מחיר ההון הממוצע המשוקלל של החברה WACC</t>
  </si>
  <si>
    <t>ערך השוק של חברת ״קלי איתך״ (להלן: ״החברה״) הוא 400 מיליון ש״ח, כאשר 40% מתוך הסכום הוא ערך השוק של</t>
  </si>
  <si>
    <t xml:space="preserve">אגרת חוב צמיתה / קונסול / נצחית שהנפיקה החברה לפני 10 שנים בריבית נקובה של 8% מתוך ערך נקוב של 200 </t>
  </si>
  <si>
    <t>מיליון ש״ח. תשלום הריבית הבא צפוי בעוד שנה.</t>
  </si>
  <si>
    <t xml:space="preserve">לחברה יש 5,000,000 מניות והרווח למניה בשנה הבאה צפוי לעמוד על 10 ש״ח למניה. החברה צופה כי תשלם 60% </t>
  </si>
  <si>
    <t>מהרווח למניה כדיבידנד אשר צפוי לצמוח בשיעור 4% לשנה לנצח. שיעור מס החברות הנו 23%.</t>
  </si>
  <si>
    <t>מהו מחיר ההון של החברה.</t>
  </si>
  <si>
    <t>שלב 1: זיהוי סוג החברה - שילוב הון עצמי וזר.</t>
  </si>
  <si>
    <t xml:space="preserve">שלב 2: הצבת ערכים בנוסחה המתאימה. </t>
  </si>
  <si>
    <t>שלב 3: חילוץ נעלמים רלוונטיים, במקרים רבים באמצעות נוסחה (1) ו/או באמצעות נוסחת תמחור מניות (נושא קודם).</t>
  </si>
  <si>
    <t>שלב 4: השלמת הצבה וסיום.</t>
  </si>
  <si>
    <t>WACC = kE * (E/V) + kD * (1 - t) * (D/V)</t>
  </si>
  <si>
    <t>שווי ההון העצמי</t>
  </si>
  <si>
    <t xml:space="preserve">60% * 400,000,000 = </t>
  </si>
  <si>
    <t xml:space="preserve">40% * 400,000,000 = </t>
  </si>
  <si>
    <t>V</t>
  </si>
  <si>
    <t>שווי החברה</t>
  </si>
  <si>
    <t>בהצבת הידוע נקבל:</t>
  </si>
  <si>
    <t>WACC = kE * (240,000,000/400,000,000) + kD * (1 - 23%) * (160,000,000/400,000,000)</t>
  </si>
  <si>
    <t>כיצד נחלץ את מחיר ההון העצמי? מנוסחת תמחור מניות:</t>
  </si>
  <si>
    <t>שווי המניות כולן - ערך E הנתון:</t>
  </si>
  <si>
    <t>מספר המניות - נתון בשאלה:</t>
  </si>
  <si>
    <t>שווי מניה אחת:</t>
  </si>
  <si>
    <t xml:space="preserve">Ps = 240,000,000 / 5,000,000 = </t>
  </si>
  <si>
    <t>לפי נוסחת גורדון / תמחיר מניות מהנושא הקודם:</t>
  </si>
  <si>
    <t>הרווח למניה בשנה הבאה נתון וסכומו:</t>
  </si>
  <si>
    <t>הדיבידנד בשנה הבאה - Div כנתון 60% מכך:</t>
  </si>
  <si>
    <t xml:space="preserve">Div = 10 * 60% = </t>
  </si>
  <si>
    <t>שיעור הצמיחה - g - נתון:</t>
  </si>
  <si>
    <t>בהצבה:</t>
  </si>
  <si>
    <t xml:space="preserve">kE = </t>
  </si>
  <si>
    <t>כיצד נחלץ את מחיר ההון הזר / תשואה לפדיון באג״ח - kD?</t>
  </si>
  <si>
    <t>ידוע כי שווי האג״ח - D:</t>
  </si>
  <si>
    <t xml:space="preserve">400,000,000 * 40% = </t>
  </si>
  <si>
    <t>סך תשלומי הריבית השנתיים באג״ח:</t>
  </si>
  <si>
    <t xml:space="preserve">8% * 200,000,000 =  </t>
  </si>
  <si>
    <t>התשואה על אג״ח קונסול היא היחס בין התשלום הקבוע לשווי</t>
  </si>
  <si>
    <t>16,000,000 / 160,000,000 = kD = 10%</t>
  </si>
  <si>
    <t>ועכשיו אפשר לחזור לנוסחת WACC עם kE ו - kD שחילצנו ולהגיע למחיר ההון הכולל:</t>
  </si>
  <si>
    <t xml:space="preserve">WACC = 16.5% * (240,000,000/400,000,000) + 10% * (1 - 23%) * (160,000,000/400,000,000) = </t>
  </si>
  <si>
    <t>סיכום ביניים:</t>
  </si>
  <si>
    <t>*</t>
  </si>
  <si>
    <t>את מחיר ההון העצמי KE ניתן לחשב על בסיס ביטא (אם היא נתונה);</t>
  </si>
  <si>
    <t>או על בסיס חילוץ מנוסחת תמחור מניות:</t>
  </si>
  <si>
    <t>**</t>
  </si>
  <si>
    <t>את מחיר ההון הזר KD באג״ח אינסופית, ניתן לחשב לפי הפרופורציה בין תשלום הקופון הקבוע לשווי</t>
  </si>
  <si>
    <t>האג״ח.</t>
  </si>
  <si>
    <t>שאלה 5 - מחיר ההון וכדאיות פרויקטים</t>
  </si>
  <si>
    <t xml:space="preserve">חברת ״בור בטני״ (להלן: ״החברה״) היא חברה פרטית, הממומנת באמצעות 100,000 מניות וכן באמצעות אגרות </t>
  </si>
  <si>
    <t>חוב ששווי השוק שלהן כיום 1,000,000 ש״ח ושיעור התשואה בגינן 10%.</t>
  </si>
  <si>
    <t>מחיר ההון העצמי הנו 20% והרווח הצפוי בשנה הבאה הוא בסך 10 ש״ח למניה. החברה משלמת 80% מרווחיה כדיבידנד</t>
  </si>
  <si>
    <t>בסוף כל שנה, והדיבידנד של השנה הנוכחית שולם לפני מספר ימים.</t>
  </si>
  <si>
    <t>שיעור הצמיחה השנתי בדיבידנד הנו 3% ומס החברות הנו 23%.</t>
  </si>
  <si>
    <t xml:space="preserve">החברה שוקלת השקעה בפרויקט שעלותו המיידית 70,000 ש״ח והוא צפוי להניב תזרים נקי אחרי מס בסכום </t>
  </si>
  <si>
    <t>של 20,000 ש״ח בסוף כל שנה במשך 8 שנים החל מעוד 4 שנים.</t>
  </si>
  <si>
    <t>האם הפרויקט כדאי לפי כלל השת״פ? נמקו.</t>
  </si>
  <si>
    <t>שלב 1 - זיהוי מקורות המימון של החברה - כוללים גם הון עצמי וגם הון זר.</t>
  </si>
  <si>
    <t>שלב 2 - לחשב את מחיר ההון הכולל WACC, כולל חילוצים לפי הצורך.</t>
  </si>
  <si>
    <t>שווי האג״ח</t>
  </si>
  <si>
    <t>שיעור התשואה לפדיון על אג״ח</t>
  </si>
  <si>
    <t>מחיר ההון העצמי</t>
  </si>
  <si>
    <t>שיעור המס</t>
  </si>
  <si>
    <t>WACC = 20% * (E/V) + 10% * (1 - 23%) * (1,000,000/V)</t>
  </si>
  <si>
    <t>ניתן לחשב שווי מניה ובהתאם שווי הון עצמי לפי נוסחת גורדון (נושא קודם):</t>
  </si>
  <si>
    <t>10 * 80% = 8</t>
  </si>
  <si>
    <t>לפי הרווח למניה בשנה הבאה (10) מוכפל בשיעור חלוקה 80%</t>
  </si>
  <si>
    <t>מחיר ההון העצמי הנתון בשאלה: 20%</t>
  </si>
  <si>
    <t>שיעור הצמיחה כנתון 3%</t>
  </si>
  <si>
    <t xml:space="preserve">Ps = 8/(20% - 3%) = </t>
  </si>
  <si>
    <t>נכפול שווי מניה כפי שחושב 47.06 במספר המניות הנתון בשאלה 100,000 ונגיע לשווי ההון העצמי:</t>
  </si>
  <si>
    <t xml:space="preserve">E = 47.06 * 100,000 = </t>
  </si>
  <si>
    <t>בנוסף יש לזכור ששווי החברה הכולל V הוא הסיכום של שווי ההון העצמי E יחד עם שווי ההון הזר D ולכן:</t>
  </si>
  <si>
    <t xml:space="preserve">V = E + D = 1,000,000 + 4,705,882 = </t>
  </si>
  <si>
    <t>וכעת נחזור לנוסחת WACC ונציב את הרכיבים החסרים:</t>
  </si>
  <si>
    <t>WACC = 20% * (4,705,882/5,705,882) + 10% * (1 - 23%) * (1,000,000/5,705,882)</t>
  </si>
  <si>
    <t>כעת נחשב את השת״פ של הפרויקט ונזכור שהקריטריון לקבלתו הוא שת״פ שגבוה ממחיר הון זה:</t>
  </si>
  <si>
    <t>מס״ד הכנסה</t>
  </si>
  <si>
    <t>השקעה</t>
  </si>
  <si>
    <t>אין הכנסה</t>
  </si>
  <si>
    <t>IRR</t>
  </si>
  <si>
    <r>
      <t xml:space="preserve">השת״פ </t>
    </r>
    <r>
      <rPr>
        <b/>
        <sz val="12"/>
        <color theme="1"/>
        <rFont val="David"/>
      </rPr>
      <t>נמוך</t>
    </r>
    <r>
      <rPr>
        <sz val="12"/>
        <color theme="1"/>
        <rFont val="David"/>
      </rPr>
      <t xml:space="preserve"> ממחיר ההון שהנו 17.84% - הפרויקט </t>
    </r>
    <r>
      <rPr>
        <b/>
        <sz val="12"/>
        <color theme="1"/>
        <rFont val="David"/>
      </rPr>
      <t>לא</t>
    </r>
    <r>
      <rPr>
        <sz val="12"/>
        <color theme="1"/>
        <rFont val="David"/>
      </rPr>
      <t xml:space="preserve"> כדאי!</t>
    </r>
  </si>
  <si>
    <t>שאלה 6 - מחיר ההון וחילוצים</t>
  </si>
  <si>
    <t>חברת ״קור פנימה״ (להלן: ״החברה״) היא חברה הממונת באמצעות 50,000 מניות וכן באמצעות 100,000 אגרות חוב</t>
  </si>
  <si>
    <t>מסוג קונסול (אג״ח צמיתה / לנצח) אשר הערך הנקוב של כל אחת מהן 100 ש״ח. הקופון בגין האג״ח הוא בשיעור</t>
  </si>
  <si>
    <t>שנתי של 10%, התשלום הבא של הקופון צפוי בעוד שנה, והאג״ח נסחרת במחיר 105 ש״ח ליחידה.</t>
  </si>
  <si>
    <t>שיעור התשואה הנדרש על תיק השוק הנו 20% והריבית חסרת הסיכון היא 5%.</t>
  </si>
  <si>
    <t>ידוע כי הביטא של החברה היא 1.2, והדיבידנד השנתי קבוע בסכום של 12 ש״ח למניה, וישולם לראשונה בעוד שנה.</t>
  </si>
  <si>
    <t>שיעור מס החברות הוא 25%.</t>
  </si>
  <si>
    <t>מהו מחיר ההון של החברה?</t>
  </si>
  <si>
    <t xml:space="preserve">שווי האג״ח - מכפלת שווי אג״ח אחת במס׳ האג״ח </t>
  </si>
  <si>
    <t xml:space="preserve">105 * 100,000 = </t>
  </si>
  <si>
    <t>WACC = kE * (E/V) + kD * (1 - 25%) * (10,500,000/V)</t>
  </si>
  <si>
    <t>לא מעט נעלמים... נתחיל בחילוצים:</t>
  </si>
  <si>
    <t>לגבי kE - התשואה הנדרשת על ההון העצמי:</t>
  </si>
  <si>
    <t>כאמור, ניתן לחלץ לעתים באמצעות נוסחת גורדון - אם מחיר המניה ידוע והצמיחה ידועה. כאן - לא ממש.</t>
  </si>
  <si>
    <t xml:space="preserve">לכן יש לפעול בדרך האלטרנטיבית, של חישוב מחיר ההון בהתאם למודל המחרת נכסים (על בסיס ביטא). </t>
  </si>
  <si>
    <t>בשפה פשוטה ובהתאם לנוסחה (1) בראש מסמך זה, ידוע כי:</t>
  </si>
  <si>
    <t>הריבית חסרת הסיכון, נתונה</t>
  </si>
  <si>
    <t>שיעור התשואה הנדרש על תיק השוק, נתון</t>
  </si>
  <si>
    <t>ביטא - מדד הסיכון, ידועה</t>
  </si>
  <si>
    <t>נציב ונגלה את מחיר ההון העצמי:</t>
  </si>
  <si>
    <t xml:space="preserve">kE = 5% + [20% - 5%] * 1.2 = </t>
  </si>
  <si>
    <t xml:space="preserve">כעת עלינו לחשב את שווי ההון העצמי - E. </t>
  </si>
  <si>
    <t>אחת הדרכים הנעימות לבצע זאת היא לחשב שווי למניה אחת (על בסיס נוסחת גורדון / הנושא הקודם לתמחיר מניה)</t>
  </si>
  <si>
    <t>ולכפול במספר המניות. כאן:</t>
  </si>
  <si>
    <t>דיבידנד שנתי קבוע</t>
  </si>
  <si>
    <t>חושב לעיל</t>
  </si>
  <si>
    <t>אין צמיחה. דיבידנד שנתי קבוע.</t>
  </si>
  <si>
    <t xml:space="preserve">Ps = 12/(23% - 0%) = </t>
  </si>
  <si>
    <t xml:space="preserve">E = 52.17 * 50,000 = </t>
  </si>
  <si>
    <t>לגבי שווי האג״ח, כנתון מדובר ב- 100,000 אגרות חוב הנסחרות במחיר של 105 ש״ח ליחידה. לכן:</t>
  </si>
  <si>
    <t xml:space="preserve">D = 100,000 * 105 = </t>
  </si>
  <si>
    <t>לגבי התשואה הנדרשת בעד אג״ח, כל עוד מדובר באג״ח קונסול (נצחית) היחס בין סך התשלום התקופתי לבין</t>
  </si>
  <si>
    <t>שווי האג״ח הוא התשואה. הקופון הוא 10% (ריבית קופון) כפול ערך נקוב (100) ואת כל זה נחלק בשווי שהוא 105:</t>
  </si>
  <si>
    <t xml:space="preserve">kD = 10% * 100 / 105 = </t>
  </si>
  <si>
    <t xml:space="preserve">V = E + D = 2,608,696 + 10,500,000  = </t>
  </si>
  <si>
    <t>WACC = 23% * (2,608,696/13,108,696) + 9.524% * (1 - 25%) * (10,500,000/13,108,696)</t>
  </si>
  <si>
    <t>שימו לב / טיפ:</t>
  </si>
  <si>
    <t>בתרגיל הבית בנושא WACC שאלה 6, נאמר שהדיבידנד הבא צפוי בעוד מספר ימים.</t>
  </si>
  <si>
    <t>יש לפעול לפי אותה הדרך בדיוק, בשינוי אחד קטן - בשלב תמחור המניה, במקום לחשב שווי</t>
  </si>
  <si>
    <t xml:space="preserve">מניה כך - </t>
  </si>
  <si>
    <t>נחשב שווי מניה באופן המתחשב בהתאמה הנוספת הנדרשת קדימה:</t>
  </si>
  <si>
    <t>Ps = [Div/(kE - g)] * (1 + kE)</t>
  </si>
  <si>
    <t>יתר התהליכים זהים בכל מובן!</t>
  </si>
  <si>
    <t>תרגיל 1 - מחיר ההון של חברה והקשר לסיכון</t>
  </si>
  <si>
    <t>עודכן</t>
  </si>
  <si>
    <t>הניחו כי חברה צפויה להניב את תזרימי המזומנים החופשיים הבאים (FCF - Free Cash Flows, לפני התייחסות</t>
  </si>
  <si>
    <t>לעלויות מימון), ולאחר מכן תתפרק, וכן כי לא קיימים רכיבי שווי נוספים:</t>
  </si>
  <si>
    <t>א. בהנחה שמחיר ההון של החברה הוא 6% לשנה, מהו שווי החברה?</t>
  </si>
  <si>
    <t>ב. הניחו כעת כי בעקבות גידול ברמת הסיכון הנתפסת של החברה עלה מחיר ההון ל-25% לשנה. כיצד יושפע</t>
  </si>
  <si>
    <t>שווי החברה? הסבירו מילולית וכן חשבו מחדש.</t>
  </si>
  <si>
    <t>א. שווי של נכס - לרבות חברה - הוא הערך הנוכחי (NPV) של תזרימי המזומנים הצפויים, חישוב ה - NPV יקבל</t>
  </si>
  <si>
    <t>כקלט את מחיר ההון (להיוון) ואת תזרימי המזומנים:</t>
  </si>
  <si>
    <t>ב. נחזור בדיוק על אותו חישוב, אלא שהפעם נתייחס למחיר ההון להיוון כ-25%:</t>
  </si>
  <si>
    <t>ככל שמחיר ההון גבוה יותר - השווי נמוך יותר, ולהפך (בהנחה שהתזרימים נותרים זהים).</t>
  </si>
  <si>
    <t>רון אחרק (רו״ח לעתיד) היטיב לציין: ״דרך אחרת לנסח זאת שי, היא - ככל שהסיכון גבוה יותר, השווי קטן״.</t>
  </si>
  <si>
    <t>תרגיל 2 - תיאורטי - מחיר ההון של פרויקט ושל החברה</t>
  </si>
  <si>
    <t xml:space="preserve">בחברת ״רון ואווירון״ בע״מ העוסקת בבניית מטוסים שוקלים להתרחב ברמת כלל החברה לתחומי פעילות חדשים, </t>
  </si>
  <si>
    <t>כאלו שרמת הסיכון הכולל הגלומה בהם גבוהה יותר מזו של החברה. לפיכך:</t>
  </si>
  <si>
    <t>א. מחיר ההון של החברה (הכולל, WACC) צפוי לעלות.</t>
  </si>
  <si>
    <t>ב. מחיר ההון של החברה (הכולל, WACC) צפוי לרדת.</t>
  </si>
  <si>
    <t>ג. מחיר ההון של הפרויקטים הספציפיים שמקבלים יגדל, אך לא יחול שינוי במחיר ההון הכולל של החברה.</t>
  </si>
  <si>
    <t>ד. מחיר ההון של החברה צפוי לרדת, אך מחיר ההון של הפרויקטים הספציפיים יהיה גבוה ממחיר ההון של החברה.</t>
  </si>
  <si>
    <t>ה. אין אף תשובה נכונה.</t>
  </si>
  <si>
    <t>דיון בכל היגד בנפרד:</t>
  </si>
  <si>
    <t>ההיגד נכון.</t>
  </si>
  <si>
    <t>עלייה בסיכון = עלייה בביטא = עלייה במחיר ההון העצמי = עלייה במחיר ההון המשוקלל.</t>
  </si>
  <si>
    <t>שגוי, ראו הסבר א.</t>
  </si>
  <si>
    <t>שגוי. החברה למעשה משנה את אופייה ואת סוגה והסיכון הכולל הגלום בה משמעו מחיר הון גבוה יותר באופן כללי.</t>
  </si>
  <si>
    <r>
      <t xml:space="preserve">ד. </t>
    </r>
    <r>
      <rPr>
        <u/>
        <sz val="12"/>
        <color rgb="FF000000"/>
        <rFont val="David"/>
      </rPr>
      <t>מחיר ההון של החברה צפוי לרדת</t>
    </r>
    <r>
      <rPr>
        <sz val="12"/>
        <color rgb="FF000000"/>
        <rFont val="David"/>
      </rPr>
      <t>, אך מחיר ההון של הפרויקטים הספציפיים יהיה גבוה ממחיר ההון של החברה.</t>
    </r>
  </si>
  <si>
    <t>שגוי, ראו הסבר א. מחיר ההון של החברה עולה.</t>
  </si>
  <si>
    <t>תרגיל 3 - מחיר ההון העצמי + מחיר ההון הכללי של חברה לא ממונפת לפי CAPM</t>
  </si>
  <si>
    <t>הניחו כי הביטא של מניית בואינג היא 1.4, כי תוחלת התשואה השנתית על מדד ה S&amp;P 500 המהווה אומד לתוחלת</t>
  </si>
  <si>
    <t>תיק השוק היא 10% לשנה ואילו תוחלת התשואה על אג״ח ממשלתי Treasury Bills אמריקאי המהווה אומד</t>
  </si>
  <si>
    <t>לריבית חסרת הסיכון היא 2%. מהו מחיר ההון של החברה בהנחה שהיא ממומנת בהון עצמי בלבד?</t>
  </si>
  <si>
    <t>כל מה שצריך כאן זה יישום פשטני של נוסחה (1) בראש מערך שיעור זה. התוצאה (דאבל קליק לפירוט):</t>
  </si>
  <si>
    <t>תרגיל 4 - חיבור לאחור - תיאורטית</t>
  </si>
  <si>
    <t>את חישוב מחיר ההון העצמי ניתן לחשב באמצעות:</t>
  </si>
  <si>
    <t xml:space="preserve">א. נוסחת ה CAPM </t>
  </si>
  <si>
    <t>ב. חילוץ מנוסחת החישוב של תמחור מניות, בהנחה שכל הנתונים פרט למחיר ההון העצמי ידועים</t>
  </si>
  <si>
    <t>ג. שיעור התשואה שהניבה המניה בפועל למשקיעים בה בחודש האחרון</t>
  </si>
  <si>
    <t>ד. תשובות א ו-ב נכונות.</t>
  </si>
  <si>
    <t>ה. תשובות א, ב ו-ג נכונות.</t>
  </si>
  <si>
    <r>
      <t>התשובה ד.</t>
    </r>
    <r>
      <rPr>
        <sz val="12"/>
        <color rgb="FF000000"/>
        <rFont val="David"/>
      </rPr>
      <t xml:space="preserve"> מה קשור (ג) יא אולוהים מה תשואה בחודש אחרון מה. ממתי אני נשען על ערך ספציפי קצר טווח כמייצג. </t>
    </r>
  </si>
  <si>
    <t>רוצה להשקיע במניות חודש? סבבה. רק שתדע, יש גם ווינר, יש גם צ׳אנס 7 הגרלות ביום. יש ים אפשרויות</t>
  </si>
  <si>
    <t xml:space="preserve">אחי. אל תגביל את עצמך. </t>
  </si>
  <si>
    <t>הכותב הנו ציני - וברצינות עכשיו, בטיפים בראש מסמך זה יש התייחסות לעניין זה.</t>
  </si>
  <si>
    <t>תרגיל 5 - מחיר ההון הכולל / המשוקלל - יישום בסיסי</t>
  </si>
  <si>
    <t>בחברה ידוע כי שיעור המימון בהון עצמי הוא 40% ואילו שיעור המימון בהון זר הוא 60%.</t>
  </si>
  <si>
    <t>מחיר ההון הזר נקבע בתור שיעור התשואה לפדיון על אגרות החוב של החברה, המורכבות מסדרת אגרות חוב</t>
  </si>
  <si>
    <t>שכל אחת מהן בת 100 ש״ח ערך נקוב, משלמת ריבית נקובה שנתית בשיעור 5% לשנה, נפרעת בתשלום אחד</t>
  </si>
  <si>
    <t>בחלוף 6 שנים מהיום ושוויה היום (ליחידה בת 100 ש״ח ערך נקוב) הנו 98 ש״ח.</t>
  </si>
  <si>
    <t>מחיר ההון העצמי מתבסס על הנתונים הבאים:</t>
  </si>
  <si>
    <t>ריבית חסרת סיכון בשיעור 2%.</t>
  </si>
  <si>
    <t>תוחלת תשואת תיק שוק בשיעור 8%.</t>
  </si>
  <si>
    <t>ביטא של מניית החברה - 1.2.</t>
  </si>
  <si>
    <t>נדרש: בנתונים אלו, חשבו את מחיר ההון הכולל / המשוקלל של החברה בהתעלם ממסים.</t>
  </si>
  <si>
    <t>הצבה כולל פירוט דרך מלא - התשובה הסופית 6.92%:</t>
  </si>
  <si>
    <t>יישום נוסחת WACC קרי נוסחה (2) כאשר המסים 0</t>
  </si>
  <si>
    <t>ראו הסבר בדבר רכיבים מטה</t>
  </si>
  <si>
    <t>חילוץ מחיר הון זר מנתוני אג״ח:</t>
  </si>
  <si>
    <t>חילוץ מחיר הון עצמי מ- CAPM:</t>
  </si>
  <si>
    <t xml:space="preserve">הסבר: פשוט יושמה נוסחה (1) בראש מערך שיעור זה. </t>
  </si>
  <si>
    <t>דאבל קליק על התיבה לפירוט.</t>
  </si>
  <si>
    <t>ערך מחולץ</t>
  </si>
  <si>
    <t>הערה: לאור העובדה שהאג״ח איננה</t>
  </si>
  <si>
    <t>אינסופית, לא נוכל לחשב את שיעור</t>
  </si>
  <si>
    <t>התשואה על אג״ח לפי היחס בין הקופון</t>
  </si>
  <si>
    <t>לשווי אג״ח. טיפ זה תקף רק באג״ח קונסול</t>
  </si>
  <si>
    <t>או אינסופיות.</t>
  </si>
  <si>
    <t>תרגיל 6 - מחיר ההון הכולל / המשוקלל עם מסים - יישום בסיסי</t>
  </si>
  <si>
    <t xml:space="preserve">בחברה ידוע כי שיעור המימון בהון עצמי הוא 30% ושיעור המימון בהון זר הוא 70%. </t>
  </si>
  <si>
    <t xml:space="preserve">מחיר ההון העצמי נאמד על בסיס מודל ה CAPM - מודל תמחור נכסי הון, כאשר ידוע שהביטא היא 1.4, </t>
  </si>
  <si>
    <t xml:space="preserve">שתוחלת תשואת תיק השוק 10% והריבית חסרת הסיכון 3%. </t>
  </si>
  <si>
    <t xml:space="preserve">מחיר ההון הזר נאמד על בסיס נתוני אגרות החוב של החברה: כל אגרת חוב נסחרת היום בשווי 98 ש״ח ל-100 </t>
  </si>
  <si>
    <t>ש״ח ערך נקוב, פרק הזמן לפדיון 10 שנים, האג״ח משלמת ריבית שנתית נקובה בשיעור 5% אחת לשנה וקרן</t>
  </si>
  <si>
    <t xml:space="preserve">האג״ח נפרעת בתשלום אחד בתום 10 השנים. </t>
  </si>
  <si>
    <t>שיעור המס הוא 23%.</t>
  </si>
  <si>
    <t>נדרש: בנתונים אלו, חשבו את מחיר ההון הממוצע המשוקלל של החברה - ה WACC שלה.</t>
  </si>
  <si>
    <t>כדי שיהיה נוח תחילה נציב מה שכן ידוע, ונצמצם את החוסרים ל-2 נעלמים:</t>
  </si>
  <si>
    <t>הנוסחה</t>
  </si>
  <si>
    <r>
      <t xml:space="preserve">WACC = </t>
    </r>
    <r>
      <rPr>
        <b/>
        <sz val="12"/>
        <color rgb="FFFF0000"/>
        <rFont val="David"/>
      </rPr>
      <t>kE</t>
    </r>
    <r>
      <rPr>
        <sz val="12"/>
        <color theme="1"/>
        <rFont val="David"/>
      </rPr>
      <t xml:space="preserve"> * 30% + </t>
    </r>
    <r>
      <rPr>
        <b/>
        <sz val="12"/>
        <color rgb="FF0070C0"/>
        <rFont val="David"/>
      </rPr>
      <t>kD</t>
    </r>
    <r>
      <rPr>
        <sz val="12"/>
        <color theme="1"/>
        <rFont val="David"/>
      </rPr>
      <t xml:space="preserve"> * (1 - 23%) * 70%</t>
    </r>
  </si>
  <si>
    <t>וכעת:</t>
  </si>
  <si>
    <t>את kE נחלץ על בסיס CAPM:</t>
  </si>
  <si>
    <t>את kD נחלץ מנתוני אג״ח:</t>
  </si>
  <si>
    <t>כי זוהי אג״ח ל-10 שנים</t>
  </si>
  <si>
    <t>כי שווי אג״ח היום הוא 98</t>
  </si>
  <si>
    <t>כי הריבית הנקובה 5% מוכפלת בערך הנקוב 100 = קופון 5 ש״ח</t>
  </si>
  <si>
    <t>הערך המחולץ - מחיר ההון הזר kD</t>
  </si>
  <si>
    <t>וכעת נחזור לנתוני הבסיס ונציב:</t>
  </si>
  <si>
    <r>
      <t xml:space="preserve">WACC = </t>
    </r>
    <r>
      <rPr>
        <b/>
        <sz val="12"/>
        <color rgb="FFFF0000"/>
        <rFont val="David"/>
      </rPr>
      <t>12.8%</t>
    </r>
    <r>
      <rPr>
        <sz val="12"/>
        <color theme="1"/>
        <rFont val="David"/>
      </rPr>
      <t xml:space="preserve"> * 30% + </t>
    </r>
    <r>
      <rPr>
        <b/>
        <sz val="12"/>
        <color rgb="FF0070C0"/>
        <rFont val="David"/>
      </rPr>
      <t>5.26%</t>
    </r>
    <r>
      <rPr>
        <sz val="12"/>
        <color theme="1"/>
        <rFont val="David"/>
      </rPr>
      <t xml:space="preserve"> * (1 - 23%) * 70% = </t>
    </r>
  </si>
  <si>
    <t xml:space="preserve">מסקנה: מחיר ההון המשוקלל WACC הנו 6.68%. </t>
  </si>
  <si>
    <t>תרגיל 7 - מחיר ההון של פרויקט</t>
  </si>
  <si>
    <t>חברת ״יואבי״ בע״מ (להלן: ״החברה״) היא חברה הממומנת בהון עצמי בלבד, פועלת בעולם ללא מסים, ובעלת ביטא</t>
  </si>
  <si>
    <r>
      <t xml:space="preserve">של 1.3. </t>
    </r>
    <r>
      <rPr>
        <b/>
        <sz val="12"/>
        <color rgb="FF000000"/>
        <rFont val="David"/>
      </rPr>
      <t>החברה שוקלת להתרחב לתחום פעילות חדש לחלוטין.</t>
    </r>
  </si>
  <si>
    <t>הריבית נטולת הסיכון היא בשיעור 2% לשנה, פרמיית הסיכון על תיק השוק, המוגדרת בתור ההפרש בין תוחלת</t>
  </si>
  <si>
    <t>תשואת תיק השוק לבין הריבית חסרת הסיכון, היא 6%, ויש להניח היעדר קיומם של מסים בעולם (הווו, נפלאות</t>
  </si>
  <si>
    <t xml:space="preserve">האקדמיה). </t>
  </si>
  <si>
    <t xml:space="preserve">על מנת להעריך את מחיר ההון של הפרויקט, מבצעת החברה שימוש במודל תמחור נכסי הון - ה CAPM.  </t>
  </si>
  <si>
    <t>על מנת להעריך את הביטא של הפרויקט, בדקה החברה את ערכי הביטא של חברות הפועלות בתחום הפעילות</t>
  </si>
  <si>
    <t>החדש הנ״ל:</t>
  </si>
  <si>
    <t>תמירי</t>
  </si>
  <si>
    <t>רוניני</t>
  </si>
  <si>
    <t>עידני</t>
  </si>
  <si>
    <t>שייקוני</t>
  </si>
  <si>
    <t>החברה מעריכה את הביטא המייצגת את הסיכון הגלום בפרויקט בתור הממוצע הפשוט של ערכי הביטא המגולמים</t>
  </si>
  <si>
    <t>באלו של החברות לעיל.</t>
  </si>
  <si>
    <t xml:space="preserve">נדרש: מהו מחיר ההון של הפרויקט? (מחיר הון זה, אגב, ישמש להיוון תזרימי המזומנים מהפרויקט בכדי לקבוע </t>
  </si>
  <si>
    <t>את כדאיותו). הסבירו את התהליך והמחשבה מאחוריו.</t>
  </si>
  <si>
    <t>התרגיל מאד דומה לשאלה 1 בשורה 53 של מערך שיעור זה. לכן, אם הפתרון להלן לא מספיק ברור, בבקשה חזרו</t>
  </si>
  <si>
    <t>על פתרון השאלה לעיל וההקלטה המסבירה אודותיה טרם תנסו שנית.</t>
  </si>
  <si>
    <t>נחשב את ממוצע ערכי הביטא הרלוונטי לענף הפעילות:</t>
  </si>
  <si>
    <t>ידועה פרמיית הסיכון על תיק השוק:</t>
  </si>
  <si>
    <t>E(M) - RF = 6%</t>
  </si>
  <si>
    <t>בהתאם לנוסחת CAPM נוכל להציב את יתר הנתונים בשאלה ולחשב את מחיר ההון העצמי עבור הפרויקט.</t>
  </si>
  <si>
    <t xml:space="preserve">kE = 2% + 6% * 1.5 = </t>
  </si>
  <si>
    <t>מסקנה: מחיר ההון של הפרויקט הוא 11%.</t>
  </si>
  <si>
    <t>הערה חשובה שהודגשה גם בשאלה 1 במפגש:</t>
  </si>
  <si>
    <t>שימו לב שבשאלה היתה נתונה גם הביטא של החברה עצמה שהיא 1.3. מערך זה של הביטא התעלמנו לגמרי. ומדוע?</t>
  </si>
  <si>
    <t>משום שהואיל ומדובר כנתון בפרויקט חדש לחלוטין - הרי שהביטא המשמשת להתייחסות אליו - צריכה להיקבע</t>
  </si>
  <si>
    <t xml:space="preserve">לפי סיכון הפרויקט החדש, ולא לפי הסיכון הכולל של הפירמה. </t>
  </si>
  <si>
    <t>מהסיבה הזו אמדנו מחדש את הביטא הרלוונטית - זו שמתאימה לסיכון בתחום הפעילות החדש (על בסיס ממוצע</t>
  </si>
  <si>
    <t xml:space="preserve">ערכי ביטא בחברות עם סיכון דומה לזה של הפרויקט). </t>
  </si>
  <si>
    <t>תרגיל 8 - מחיר ההון ושווי החברה</t>
  </si>
  <si>
    <t>חברת ״M1״ בע״מ (להלן: ״החברה״) היא חברה העוסקת במגוון רחב של פעילויות עסקיות. תוחלת תזרים המזומנים</t>
  </si>
  <si>
    <t>השנתי הצפויה ב-5 השנים הבאות היא בסך 5,000,000 ש״ח לשנה. לאחר מכן, תגדל תוחלת תזרים המזומנים</t>
  </si>
  <si>
    <t xml:space="preserve">השנתית ל-6,500,000 ש״ח לשנה, וזאת - לתקופה בלתי מוגבלת. </t>
  </si>
  <si>
    <t xml:space="preserve">החברה ממומנת בהון עצמי בלבד, ופועלת בעולם ללא מסים. </t>
  </si>
  <si>
    <t>הביטא של החברה היא 1.5, הריבית / התשואה חסרת הסיכון היא 4% ותוחלת התשואה על תיק השוק היא 12%.</t>
  </si>
  <si>
    <t>ראשית, חישוב מחיר ההון - שבמקרה זה הוא מחיר ההון העצמי (כי אין חוב):</t>
  </si>
  <si>
    <t xml:space="preserve">kE = 4% + [12% - 4%] * 1.5 = </t>
  </si>
  <si>
    <t>שנית - טכניקת ההיוון המתאימה לסדרה הכוללת שני רכיבים - רכיב סופי ורכיב אינסופי:</t>
  </si>
  <si>
    <t>ערך מהוון</t>
  </si>
  <si>
    <t>סיכום</t>
  </si>
  <si>
    <t>לשנה</t>
  </si>
  <si>
    <t>שווי החברה:</t>
  </si>
  <si>
    <t xml:space="preserve">npv = </t>
  </si>
  <si>
    <t xml:space="preserve">אם לא ברור, אנא חזרו על שאלה 2 משורה 116 שפתרנו יחד במפגש זה, יש גם הקלטה הדרגתית שמסבירה רציונל זהה. </t>
  </si>
  <si>
    <t>תרגיל 9 - מחיר הון משוקלל ופרופילי סיכון</t>
  </si>
  <si>
    <t>חברת ״M1 Pro״ בע״מ ממומנת על ידי 3,000,000 מניות וכן אגרות חוב בשווי 100,000,000 ש״ח. מחיר אגרות</t>
  </si>
  <si>
    <t xml:space="preserve">החוב משקף שיעור תשואה לפדיון של 7%. מחיר ההון העצמי - קרי התשואה הנדרשת על ידי בעלי המניות - </t>
  </si>
  <si>
    <t xml:space="preserve">הוא 15%. ידוע שהחברה צופה לשלם עוד שנה דיבידנד בסכום של 5 ש״ח למניה, הצפוי לצמוח בשיעור שנתי של 5% </t>
  </si>
  <si>
    <t xml:space="preserve">בעתיד הנראה לעין. </t>
  </si>
  <si>
    <t xml:space="preserve">החברה כפופה למס חברות בשיעור 23%. </t>
  </si>
  <si>
    <t>א. מהו מחיר ההון הממוצע המשוקלל של החברה - WACC (חשבו תחילה מחיר מניה ושווי הון עצמי)?</t>
  </si>
  <si>
    <t xml:space="preserve">ב. החברה בוחנת פרויקט חדש שלא ישנה את הרכב ההון שלה. הוא כרוך בהשקעה של 1,000,000 ש״ח ויניב לה </t>
  </si>
  <si>
    <t>תזרים שנתי נקי בסך 300,000 ש״ח לשנה במשך 4 שנים. האם הפרויקט כדאי אם הסיכון בו מקביל לסיכון החברה?</t>
  </si>
  <si>
    <t xml:space="preserve">ג. הסבירו עקרונית (ללא חישוב נוסף) כיצד תשתנה תשובתכם לסעיף ב, אם ידוע שהפרויקט הוא בתחום פעילות </t>
  </si>
  <si>
    <t>חדש לחלוטין, בעל פרופיל סיכון שונה לחלוטין מזה של פרויקטים קיימים בחברה?</t>
  </si>
  <si>
    <t>א. מהו מחיר ההון הממוצע המשוקלל של החברה - WACC?</t>
  </si>
  <si>
    <t>ככלל, הנוסחה לחישוב מחיר ההון הממוצע המשוקלל היא (נראה שונה מהנוסחה שהצגנו נכון? אל חשש, קראו למטה):</t>
  </si>
  <si>
    <t>לצערנו הרב, אנו לא באמת יודעים בצורה מפורשת מהו שיעור המימון בהון עצמי wE ומהו שיעור המימון בהון זר wD.</t>
  </si>
  <si>
    <t>לכן צריך לחשבם. וכיצד? בצורה מאד פשוטה:</t>
  </si>
  <si>
    <t>נגדיר:</t>
  </si>
  <si>
    <r>
      <t xml:space="preserve">שווי ההון העצמי. ניתן לחישוב על ידי מכפלת </t>
    </r>
    <r>
      <rPr>
        <b/>
        <sz val="12"/>
        <color theme="1"/>
        <rFont val="David"/>
      </rPr>
      <t>שווי מניה</t>
    </r>
    <r>
      <rPr>
        <sz val="12"/>
        <color theme="1"/>
        <rFont val="David"/>
      </rPr>
      <t xml:space="preserve"> אחת </t>
    </r>
    <r>
      <rPr>
        <b/>
        <sz val="12"/>
        <color theme="1"/>
        <rFont val="David"/>
      </rPr>
      <t>במספר המניות</t>
    </r>
    <r>
      <rPr>
        <sz val="12"/>
        <color theme="1"/>
        <rFont val="David"/>
      </rPr>
      <t>.</t>
    </r>
  </si>
  <si>
    <t>שווי ההון הזר / החוב. ניתן לחישוב על ידי מכפלת שווי אג״ח אחת במספר</t>
  </si>
  <si>
    <r>
      <t xml:space="preserve">אגרות החוב, אך </t>
    </r>
    <r>
      <rPr>
        <b/>
        <sz val="12"/>
        <color theme="1"/>
        <rFont val="David"/>
      </rPr>
      <t>במקרה זה - נתון</t>
    </r>
    <r>
      <rPr>
        <sz val="12"/>
        <color theme="1"/>
        <rFont val="David"/>
      </rPr>
      <t>.</t>
    </r>
  </si>
  <si>
    <t>שווי החברה לכלל המשקיעים = שווי ההון העצמי בתוספת שווי ההון הזר.</t>
  </si>
  <si>
    <t>ואז נוכל לטעון ש:</t>
  </si>
  <si>
    <t>או בעצם, במלים - שיעור ההון העצמי wE הוא היחס בין שווי ההון העצמי לסך שווי מקורות המימון בחברה.</t>
  </si>
  <si>
    <t>שיעור ההון הזר wD הוא היחס בין שווי ההון הזר (שווי החוב) לבין סך שווי מקורות המימון בחברה.</t>
  </si>
  <si>
    <t>כעת נפעל:</t>
  </si>
  <si>
    <t>סך שווי ההון הזר / אג״ח / חוב - ש״ח - נתון:</t>
  </si>
  <si>
    <t>סך שווי ההון העצמי - לא נתון, לכן יחושב על בסיס שווי מניה מוכפל במספר המניות:</t>
  </si>
  <si>
    <t>מספר המניות</t>
  </si>
  <si>
    <t>השווי למניה אחת לא נתון. אך כמובן אפשר לחשבו על בסיס נוסחת היוון הדיבידנדים של גורדון:</t>
  </si>
  <si>
    <t>ובהצבת נתוני השאלה נקבל שהשווי של מניה אחת כאן הוא:</t>
  </si>
  <si>
    <t>כך שבסך הכל שווי ההון העצמי הוא:</t>
  </si>
  <si>
    <t>כעת שווי החברה הכולל:</t>
  </si>
  <si>
    <t>וסוף סוף אפשר לחשב את משקל ההון העצמי ומשקל ההון הזר כהגדרתם:</t>
  </si>
  <si>
    <t>ועכשיו, רק עכשיו, כשנתוני המשקלים ויתר נתוני השאלה בידינו, נחזור לנוסחת WACC ונחשב:</t>
  </si>
  <si>
    <t>ב. כדאיות פרויקט שהסיכון בו מקביל לסיכון החברה</t>
  </si>
  <si>
    <r>
      <t xml:space="preserve">הואיל וסיכון הפרויקט </t>
    </r>
    <r>
      <rPr>
        <b/>
        <sz val="12"/>
        <color theme="1"/>
        <rFont val="David"/>
      </rPr>
      <t>מקביל לסיכון החברה</t>
    </r>
    <r>
      <rPr>
        <sz val="12"/>
        <color theme="1"/>
        <rFont val="David"/>
      </rPr>
      <t>, ניתן לחשב בפשטות רבה NPV שיכלול היוון של תזרימי המזומנים</t>
    </r>
  </si>
  <si>
    <r>
      <t xml:space="preserve">הפרויקטליים </t>
    </r>
    <r>
      <rPr>
        <b/>
        <sz val="12"/>
        <color theme="1"/>
        <rFont val="David"/>
      </rPr>
      <t>במחיר ההון של החברה</t>
    </r>
    <r>
      <rPr>
        <sz val="12"/>
        <color theme="1"/>
        <rFont val="David"/>
      </rPr>
      <t xml:space="preserve"> בכדי לקבל הכרעה לגביו:</t>
    </r>
  </si>
  <si>
    <t>מחיר ההון</t>
  </si>
  <si>
    <t>תוצאת החישוב של נדרש א</t>
  </si>
  <si>
    <t xml:space="preserve">NPV = </t>
  </si>
  <si>
    <t xml:space="preserve">הואיל והענ״נ - NPV - שלילי: אין הצדקה לביצוע הפרויקט. </t>
  </si>
  <si>
    <t>ג. כדאיות פרויקט שהסיכון בו שונה לחלוטין - דיון עקרוני בלבד ללא חישוב</t>
  </si>
  <si>
    <t xml:space="preserve">כפי שלמדנו מחיר ההון הוא פונקציה של הסיכון. ככל שמדובר בפרויקט מסוכן יותר מתמהיל הפרויקטים של </t>
  </si>
  <si>
    <t>החברה באופן כללי, יש לבצע את חישוב ההיוון (ה - NPV) בהתבסס על מחיר הון פרויקטלי (קרי, ספציפי לפרויקט)</t>
  </si>
  <si>
    <t>שהנו גבוה יותר.</t>
  </si>
  <si>
    <t>כמובן שבמצב כזה ה-NPV יקטן ויהפוך לשלילי אף יותר מזה שמצאנו בסעיף ב.</t>
  </si>
  <si>
    <t>לעומת זאת, אם הפרויקט הספציפי הוא ברמת סיכון נמוכה יותר, מחיר ההון המתואם לסיכון יהיה נמוך יותר.</t>
  </si>
  <si>
    <t xml:space="preserve">ההיוון במחיר הון נמוך יותר יהפוך את ה - NPV לגבוה יותר, וייתכן שאף לחיובי, כך שהפרויקט עשוי להפוך </t>
  </si>
  <si>
    <t>להיות כדאי.</t>
  </si>
  <si>
    <t>כמובן זהו דיון כללי כמתבקש בסעיף: ה-NPV יגדל אם הפרויקט הספציפי מסוכן פחות, ויקטן אם הפרויקט הספציפי</t>
  </si>
  <si>
    <t>מסוכן יותר. עד כמה יגדל או יקטן בהתאמה? תלוי בהשפעה על מחיר ההון שצריכה להיות נגזרת מנתונים כמותיים</t>
  </si>
  <si>
    <t>בשאלה.</t>
  </si>
  <si>
    <t>תרגיל 10 - חישוב מחיר ההון של החברה ואג״ח צמיתה</t>
  </si>
  <si>
    <t>ערך השוק של חברת ״יואבי״ בע״מ הוא 400,000,000 ש״ח. מתוך סכום זה, שיעור של 40% מהווה את שווי</t>
  </si>
  <si>
    <t xml:space="preserve">השוק של אג״ח צמיתה (קונסול / לאינסוף, כזו המשלמת ריבית קופון בלבד והקרן לא נפרעת לעולם). </t>
  </si>
  <si>
    <t>נתוני האג״ח הצמיתה: הונפקה לפני 20 שנים בריבית נקובה של 5%, כאשר ערכה הנקוב 150,000,000 ש״ח.</t>
  </si>
  <si>
    <t>תשלום הריבית הבא באג״ח הצמיתה צפוי בעוד שנה.</t>
  </si>
  <si>
    <t>לחברה יש 2,000,000 מניות כאשר הרווח למניה בשנה הבאה צפוי לעמוד על 8 ש״ח למניה. החברה צופה</t>
  </si>
  <si>
    <t xml:space="preserve">כי תשלם 60% מהרווח הנ״ל כדיבידנד שיצמח בשיעור 3.5% לשנה, לנצח. </t>
  </si>
  <si>
    <t>שיעור מס החברות הנו 23%.</t>
  </si>
  <si>
    <t>נדרש: חשבו את מחיר ההון של החברה (הערה: הכוונה כמובן למחיר ההון הכולל / הממוצע המשוקלל).</t>
  </si>
  <si>
    <t>מחיר ההון של החברה = מחיר ההון הכולל = מחיר ההון הממוצע המשוקלל = WACC</t>
  </si>
  <si>
    <t>מחיר החוב = מחיר ההון הזר = שיעור התשואה לפדיון על אג״ח החברה = kD</t>
  </si>
  <si>
    <t>מחיר ההון העצמי = תשואה נדרשת על ידי בעלי מניות = kE</t>
  </si>
  <si>
    <t>פתרון תרגיל 10</t>
  </si>
  <si>
    <t xml:space="preserve">תחילה ננסה לחלץ את מחיר ההון הזר kD ואת מחיר ההון העצמי kE בהתאמה. זה הרי הבסיס למחיר ההון המשוקלל </t>
  </si>
  <si>
    <t>המורכב מממוצע משוקלל של שניהם.</t>
  </si>
  <si>
    <t>שלב 1: חילוץ מחיר ההון הזר / שיעור התשואה לפדיון על רכיב החוב / kD</t>
  </si>
  <si>
    <t>שווי החוב הנתון:</t>
  </si>
  <si>
    <t>נתון שווי חוב כ-40% משווי החברה</t>
  </si>
  <si>
    <t>ערך נקוב נתון:</t>
  </si>
  <si>
    <t>שיעור ריבית קופון נתון:</t>
  </si>
  <si>
    <t>סכום קופון שנתי:</t>
  </si>
  <si>
    <t xml:space="preserve">150,000,000 * 5% = </t>
  </si>
  <si>
    <r>
      <t xml:space="preserve">הואיל ומדובר </t>
    </r>
    <r>
      <rPr>
        <b/>
        <u/>
        <sz val="12"/>
        <color rgb="FFFF0000"/>
        <rFont val="David"/>
      </rPr>
      <t>באג״ח צמיתה</t>
    </r>
    <r>
      <rPr>
        <b/>
        <sz val="12"/>
        <color rgb="FFFF0000"/>
        <rFont val="David"/>
      </rPr>
      <t xml:space="preserve"> (לאינסוף) - </t>
    </r>
    <r>
      <rPr>
        <b/>
        <u/>
        <sz val="12"/>
        <color rgb="FFFF0000"/>
        <rFont val="David"/>
      </rPr>
      <t>שיעור התשואה</t>
    </r>
    <r>
      <rPr>
        <b/>
        <sz val="12"/>
        <color rgb="FFFF0000"/>
        <rFont val="David"/>
      </rPr>
      <t xml:space="preserve"> עליה הוא תמיד </t>
    </r>
    <r>
      <rPr>
        <b/>
        <u/>
        <sz val="12"/>
        <color rgb="FFFF0000"/>
        <rFont val="David"/>
      </rPr>
      <t>היחס</t>
    </r>
    <r>
      <rPr>
        <b/>
        <sz val="12"/>
        <color rgb="FFFF0000"/>
        <rFont val="David"/>
      </rPr>
      <t xml:space="preserve"> בין </t>
    </r>
    <r>
      <rPr>
        <b/>
        <u/>
        <sz val="12"/>
        <color rgb="FFFF0000"/>
        <rFont val="David"/>
      </rPr>
      <t>הקופון שהיא משלמת</t>
    </r>
    <r>
      <rPr>
        <b/>
        <sz val="12"/>
        <color rgb="FFFF0000"/>
        <rFont val="David"/>
      </rPr>
      <t xml:space="preserve"> לבין</t>
    </r>
  </si>
  <si>
    <r>
      <rPr>
        <b/>
        <u/>
        <sz val="12"/>
        <color rgb="FFFF0000"/>
        <rFont val="David"/>
      </rPr>
      <t>שווי האג״ח</t>
    </r>
    <r>
      <rPr>
        <b/>
        <sz val="12"/>
        <color rgb="FFFF0000"/>
        <rFont val="David"/>
      </rPr>
      <t>. כלומר:</t>
    </r>
  </si>
  <si>
    <t>שלב 2: חילוץ מחיר ההון העצמי / שיעור התשואה הנדרש על ההון העצמי</t>
  </si>
  <si>
    <t>הבהרנו זה מכבר שישנן 2 דרכים לחילוץ מחיר ההון העצמי kE. האחת, מתבססת על מודל ה CAPM ונלווה</t>
  </si>
  <si>
    <t>לה תיאור של הביטא, תוחלת תיק השוק, ריבית חסרת סיכון וכיו״ב. האחרת - נשענת על חילוץ הריבית להיוון</t>
  </si>
  <si>
    <t>מנוסחת תמחור מניות.</t>
  </si>
  <si>
    <t>כאן, הדרך הרלוונטית היא חילוץ מנוסחת תמחור מניות - הואיל ויש נתונים על דיבידנדים ושווי מניה.</t>
  </si>
  <si>
    <r>
      <t xml:space="preserve">שווי ההון העצמי </t>
    </r>
    <r>
      <rPr>
        <b/>
        <sz val="12"/>
        <color theme="1"/>
        <rFont val="David"/>
      </rPr>
      <t>הנתון</t>
    </r>
    <r>
      <rPr>
        <sz val="12"/>
        <color theme="1"/>
        <rFont val="David"/>
      </rPr>
      <t>:</t>
    </r>
  </si>
  <si>
    <t>הסבר: בחברה שבה שווי החוב הוא 40% מהשווי הכולל, נדרש כי שווי ההון יהיה 60% מהשווי הכולל קרי</t>
  </si>
  <si>
    <t>השלמה ל-100%.</t>
  </si>
  <si>
    <r>
      <t xml:space="preserve">מספר המניות </t>
    </r>
    <r>
      <rPr>
        <b/>
        <sz val="12"/>
        <color theme="1"/>
        <rFont val="David"/>
      </rPr>
      <t>הנתון</t>
    </r>
    <r>
      <rPr>
        <sz val="12"/>
        <color theme="1"/>
        <rFont val="David"/>
      </rPr>
      <t>:</t>
    </r>
  </si>
  <si>
    <t>השווי למניה אחת מתקבל בקלות על ידי חלוקת שווי ההון העצמי במספר המניות:</t>
  </si>
  <si>
    <t xml:space="preserve">240,000,000 / 2,000,000 = </t>
  </si>
  <si>
    <t>כעת נפעיל את הנוסחה שהצגנו בשיעור 4 לחילוץ נתוני תשואה נדרשת על מניה מתוך נתוניה:</t>
  </si>
  <si>
    <t>בנתוני השאלה סיפקו מידע לגבי שיעור הצמיחה: 3.5%</t>
  </si>
  <si>
    <t>בנוסף ציינו שהרווח למניה הצפוי בשנה הבאה 8 ש״ח אך שיעור הדיבידנד מתוכו הוא 60% בלבד:</t>
  </si>
  <si>
    <t xml:space="preserve">על פי נוסחה 2 משיעור 4 שהציגה </t>
  </si>
  <si>
    <t xml:space="preserve">את האופן שבו מחשבים שיעור תשואה </t>
  </si>
  <si>
    <t>נדרש ע״י בעלי מניות בהינתן מחיר מניה,</t>
  </si>
  <si>
    <t>דיבידנד וצמיחה:</t>
  </si>
  <si>
    <t>בהצבה מלאה על פי הנתונים:</t>
  </si>
  <si>
    <t>שימו לב: על פי נתוני השאלה הדיבידנד הוא 60% מהרווח למניה שמצידו עומד על 8. לכן כפלנו את ה-8</t>
  </si>
  <si>
    <t>בשיעור החלוקה כדי להגיע לדיבידנד במונה של הנוסחה.</t>
  </si>
  <si>
    <t>שלב 3: חישוב מחיר ההון הממוצע המשוקלל</t>
  </si>
  <si>
    <t>קרי תשובה סופית</t>
  </si>
  <si>
    <t>זה מחיר ההון הכולל</t>
  </si>
  <si>
    <t>קרי הממוצע המשוקלל</t>
  </si>
  <si>
    <t>wD = 40%</t>
  </si>
  <si>
    <t>wE = 60%</t>
  </si>
  <si>
    <t>קרי ה - WACC</t>
  </si>
  <si>
    <t>היחס בין שווי החוב</t>
  </si>
  <si>
    <t>היחס בין שווי ההון העצמי</t>
  </si>
  <si>
    <t>לשווי החברה</t>
  </si>
  <si>
    <t>תרגיל 11 - כלל השת״פ, הנחות יסוד ופרויקטים</t>
  </si>
  <si>
    <t>חברת ״יואבי 2״ היא חברה פרטית הממומנת על ידי 10,000 מניות וכן אגרות חוב ששווי השוק המצרפי שלהן</t>
  </si>
  <si>
    <t>היום הוא 600,000 ש״ח. ידוע כי מחיר ההון הזר / הריבית על החוב היא 4% לשנה ובנוסף ידוע כי הרווח למניה</t>
  </si>
  <si>
    <t>הצפוי בשנה הבאה הוא 10 ש״ח למניה. מחיר ההון העצמי הוא 26% לשנה.</t>
  </si>
  <si>
    <t>החברה נוהגת לשלם 70% מרווחיה כדיבידנד בסוף כל שנה, והדיבידנד של השנה הנוכחית שולם לפני מספר</t>
  </si>
  <si>
    <t>ימים (לתשומת לב הקוראים, גם ללא ביאור מיוחד נתייחס במצב כזה לדיבידנד כאילו שולם ״אתמול״ או ״לפני דקה״).</t>
  </si>
  <si>
    <t>שיעור הצמיחה השנתי של הדיבידנד הוא 6% לשנה ומס החברות אליו כפופה החברה הוא בשיעור 23%.</t>
  </si>
  <si>
    <t>החברה שוקלת השקעה בפרויקט - שידרוש מהחברה לרכוש במיידי ציוד בעלות כוללת של 100,000 ש״ח והוא יניב</t>
  </si>
  <si>
    <t xml:space="preserve">לחברה תזרים מזומנים שנתי נטו אחרי מס בסך 30,000 ש״ח בתום כל שנה במשך 7 שנים החל מעוד 3 שנים. </t>
  </si>
  <si>
    <t>א. בהנחה שהחברה משתמשת בכלל השת״פ (IRR) לקבלת החלטות השקעה, האם עליה לבצע הפרויקט?</t>
  </si>
  <si>
    <t xml:space="preserve">ב. הסבירו את הנחות היסוד עליהן מתבססת התשובה / חוות הדעת שלכם בהקשר לסעיף א לעיל. </t>
  </si>
  <si>
    <t>פתרון תרגיל 11</t>
  </si>
  <si>
    <t>רקע: כלל ה- IRR קובע שפרויקט השקעה קונבנציונלי יהיה כדאי אם ה - IRR גבוה ממחיר ההון. לכן, נחשב תחילה</t>
  </si>
  <si>
    <t>את מחיר ההון לפי הדגשים הרגילים, נחשב לאחר מכן את ה - IRR של הפרויקט ולבסוף נחווה דיעה. הנחות היסוד</t>
  </si>
  <si>
    <t>הקשורות לקבלת ההחלטה קשורות להנחה שהפרויקט בלתי תלוי בפרויקטים האחרים של החברה, מבוצע ברמת</t>
  </si>
  <si>
    <t>סיכון דומה ליתר הפרויקטים בחברה וכן לתקפות המודלים עצמם.</t>
  </si>
  <si>
    <t>שימו לב שדרך הפתרון המפורטת מאד הקשורה להיבטים של חילוץ מחיר ההון העצמי והזר כבר בוטאה במלואה</t>
  </si>
  <si>
    <t>בשאלה 10. לכן, כאן ננסה לקצר מעט את הדיון, אך במידת הצורך אשמח במהלך המעבר שלכם על הפתרון לספק</t>
  </si>
  <si>
    <t>הסברים נוספים עד אשר תחושו במלוא לבכם כי התהליך מסודר.</t>
  </si>
  <si>
    <t>שלב 1:  מחיר ההון הזר / שיעור התשואה לפדיון על רכיב החוב - kD</t>
  </si>
  <si>
    <t>הופסה. הוא נתון דווקא.</t>
  </si>
  <si>
    <t>שלב 2: חילוץ מחיר ההון העצמי / שיעור התשואה הנדרש על ההון העצמי kE</t>
  </si>
  <si>
    <t>רגע אחד: איך נדע מה ה״משקלים״? ובכן, פשוט יחסית. שווי החוב ידוע. אם רק נדע מה השווי המצרפי של המניות,</t>
  </si>
  <si>
    <t>שניתן לחישוב בקלות לפי השווי של מניה אחת לפי מודל ההיוון של גורדון, אשר מוכפל במספר המניות - נוכל לדעת</t>
  </si>
  <si>
    <t>מהו שווי החברה הכולל ומה המשקלים. נשמע פחות ברור? הבה נפרק לתתי שלבים:</t>
  </si>
  <si>
    <t>שלב 3.1 - חישוב שווי מניה אחת:</t>
  </si>
  <si>
    <t>כדי לחשב שווי מניה, זקוק אני עקרונית לידיעת הדיבידנד: ועל פי נתוני השאלה, הרווח למניה הצפוי בשנה הבאה</t>
  </si>
  <si>
    <t xml:space="preserve">הוא 10 ש״ח - כאשר מתוכו, שיעור הדיבידנד שיחולק הוא 70% בלבד ולכן: </t>
  </si>
  <si>
    <r>
      <t xml:space="preserve">DIV = </t>
    </r>
    <r>
      <rPr>
        <sz val="12"/>
        <color rgb="FFFF0000"/>
        <rFont val="David"/>
      </rPr>
      <t>70% * 10</t>
    </r>
    <r>
      <rPr>
        <sz val="12"/>
        <color theme="1"/>
        <rFont val="David"/>
      </rPr>
      <t xml:space="preserve"> = 7</t>
    </r>
  </si>
  <si>
    <r>
      <t>בנוסף אני זקוק למחיר ההון העצמי - שיעור התשואה הנדרש על ידי בעלי המניות שנתון מפורשות בשאלה כ-</t>
    </r>
    <r>
      <rPr>
        <sz val="12"/>
        <color rgb="FF00B050"/>
        <rFont val="David"/>
      </rPr>
      <t>26%</t>
    </r>
    <r>
      <rPr>
        <sz val="12"/>
        <color theme="1"/>
        <rFont val="David"/>
      </rPr>
      <t>.</t>
    </r>
  </si>
  <si>
    <r>
      <t xml:space="preserve">לבסוף, אנו רוצים לדעת מהו שיעור הצמיחה הקבוע שכאן נתון כ- </t>
    </r>
    <r>
      <rPr>
        <b/>
        <sz val="12"/>
        <color rgb="FF7030A0"/>
        <rFont val="David"/>
      </rPr>
      <t>6%</t>
    </r>
    <r>
      <rPr>
        <sz val="12"/>
        <color theme="1"/>
        <rFont val="David"/>
      </rPr>
      <t xml:space="preserve"> = g. </t>
    </r>
  </si>
  <si>
    <t>הצבת ערכים אלו בנוסחת גורדון לחישוב מחיר מניה תניב בקלות את התוצאה:</t>
  </si>
  <si>
    <t>שווי מניה אחת הוא 35 ש״ח.</t>
  </si>
  <si>
    <t>שלב 3.2 - חישוב שווי כל המניות = שווי ההון העצמי:</t>
  </si>
  <si>
    <t>על פי נתוני השאלה, בחברה 10,000 מניות, נכפול את מספר המניות בשווי המניה ונקבל את שווי ההון העצמי:</t>
  </si>
  <si>
    <t>שלב 3.3 - חישוב שיעור ההון העצמי ושיעור ההון הזר:</t>
  </si>
  <si>
    <t>בשלב זה, נחשב את השווי הכולל של החברה המסומן כ- V ואשר סוכם את שווי ההון E עם שווי החוב.</t>
  </si>
  <si>
    <t>שווי החוב נתון בשאלה:</t>
  </si>
  <si>
    <t>D = 600,000</t>
  </si>
  <si>
    <t>שווי ההון העצמי חושב לעיל:</t>
  </si>
  <si>
    <t xml:space="preserve">E = 350,000 </t>
  </si>
  <si>
    <t>שיעור ההון העצמי:</t>
  </si>
  <si>
    <t>שיעור ההון הזר (דרך קיצור):</t>
  </si>
  <si>
    <t>שלב 3.4 - חישוב מחיר ההון הממוצע המשוקלל:</t>
  </si>
  <si>
    <t>שלב 4 - חישוב ה - IRR של הפרויקט:</t>
  </si>
  <si>
    <t>על פי נתוני השאלה, הפרויקט הנבחן דורש השקעה מיידית - תזרים שלילי בזמן אפס - בסך 100,000 ש״ח,</t>
  </si>
  <si>
    <t>כאשר לאחר מכן - ורק החל מתום השנה ה-3 - יתקבלו 7 תזרימי מזומנים זהים ועוקבים בסך 30,000 ש״ח כל אחד</t>
  </si>
  <si>
    <t>להלן אופן הצגתם:</t>
  </si>
  <si>
    <t>תזרים 1</t>
  </si>
  <si>
    <t>תזרים 2</t>
  </si>
  <si>
    <t>תזרים 3</t>
  </si>
  <si>
    <t>תזרים 4</t>
  </si>
  <si>
    <t>תזרים 5</t>
  </si>
  <si>
    <t>תזרים 6</t>
  </si>
  <si>
    <t>תזרים 7</t>
  </si>
  <si>
    <t xml:space="preserve">הואיל וה - IRR גבוה ממחיר ההון, כדאי לבצע את הפרויקט. </t>
  </si>
  <si>
    <t>נשים לב כעת לנדרש ב, המבקש פירוט להנחות שבבסיס הכרעה זו:</t>
  </si>
  <si>
    <t>קיבלנו ששיעור התשואה על הפרויקט באחוזים - ה IRR שלו - גבוה ממחיר ההון של החברה.</t>
  </si>
  <si>
    <t>על בסיס זאת הטענה היתה שהפרויקט כדאי.</t>
  </si>
  <si>
    <t>אלא שקביעה כזו מניחה באופן סמוי שרמת הסיכון של הפרויקט הנבחן מקבילה לזו</t>
  </si>
  <si>
    <t>של החברה עצמה;</t>
  </si>
  <si>
    <t xml:space="preserve">אילו מדובר בפרויקט מסוכן יותר - שעבורו היה נקבע בהתאם מחיר הון גבוה יותר מזה </t>
  </si>
  <si>
    <t>של החברה - לא יכולנו לקבוע ללא נתונים מדויקים בדבר רמת הסיכון הספציפי של הפרויקט</t>
  </si>
  <si>
    <t xml:space="preserve">והשפעתה על מחיר ההון של הפרויקט. </t>
  </si>
  <si>
    <t>כלל ה- IRR:</t>
  </si>
  <si>
    <t>קבל</t>
  </si>
  <si>
    <t>IRR &gt; k</t>
  </si>
  <si>
    <t xml:space="preserve">כאשר מדובר בפרויקט שרמת הסיכון בו דומה לזו של החברה, אזי התשואה הנדרשת בגינו (k) היא WACC. </t>
  </si>
  <si>
    <t>IRR &gt; WACC</t>
  </si>
  <si>
    <t>כאשר מדובר בפרויקט ספציפי השונה ברמת הסיכון שלו מסיכון החברה אזי התשואה הנדרשת</t>
  </si>
  <si>
    <t>בגינו תהיה ערך שונה וספציפי של k שמתאים לרמת הסיכון בפרויקט הספציפי:</t>
  </si>
  <si>
    <t>IRR &gt; k (ספציפי לפרויקט)</t>
  </si>
  <si>
    <t>תרגיל 12 - חישוב מחיר ההון בהינתן ביטא ודיבידנדים</t>
  </si>
  <si>
    <t xml:space="preserve">חברת ״יואבי 3״ היא חברה הממומנת על ידי 5,000 מניות וכן 1,000 אגרות חוב צמיתות שהערך הנקוב של </t>
  </si>
  <si>
    <t>כל אחת מהן הנו 100 ש״ח. הריבית הנקובה - ריבית הקופון - על האג״ח היא 7% לשנה, התשלום הבא של הקופון</t>
  </si>
  <si>
    <t xml:space="preserve">צפוי להתבצע בעוד שנה, ושווי השוק של יחידת אג״ח הוא 95 ש״ח. </t>
  </si>
  <si>
    <t>ידוע כי שיעור התשואה הנדרש על תיק השוק הוא 15% לשנה, הריבית חסרת הסיכון היא בשיעור 5% לשנה</t>
  </si>
  <si>
    <t xml:space="preserve">והביטא של החברה היא 2.7. </t>
  </si>
  <si>
    <t>החברה משלמת דיבידנד שנתי בסכום קבוע של 10 ש״ח למניה והדיבידנד הבא צפוי בעוד מספר ימים (כלומר: ״מחר״).</t>
  </si>
  <si>
    <t>שיעור מס החברות הוא 23%.</t>
  </si>
  <si>
    <t>נדרש: חשבו את מחיר ההון של החברה.</t>
  </si>
  <si>
    <t>פתרון תרגיל 12</t>
  </si>
  <si>
    <t>האמת - השאלה לא מורכבת במיוחד. אבל יש לנו מסורת של הקבלה מלאה לתרגילי הבית כדי להקטין ככל הניתן</t>
  </si>
  <si>
    <t>אי ודאות בשלבים ראשונים של הלמידה אז נו שוין, קדימה לעבודה.</t>
  </si>
  <si>
    <t>מה האקשן בשאלה זו?</t>
  </si>
  <si>
    <t xml:space="preserve">ובכן, בעיקר העובדה שהדיבידנד הבא צפוי בעוד מספר ימים. בהינתן עובדה זו, חילוץ מחיר המניה צריך להיות </t>
  </si>
  <si>
    <t>רגיש וזהיר יותר, ולהתבסס על עובדה זו כפי שהצגנו בהרצאות 4 ו-5 העוסקות במניות. מעבר לכך, הדיון סטנדרטי</t>
  </si>
  <si>
    <t xml:space="preserve">למדי: נחשב את מחיר ההון העצמי לפי CAPM, את מחיר ההון הזר די בקלות על בסיס נתוני אג״ח צמיתה, </t>
  </si>
  <si>
    <t xml:space="preserve">נחשב שווי של מניה ואז שווי הון עצמי, ונשקלל לחישוב מחיר ההון הכולל. </t>
  </si>
  <si>
    <t>סכום קופון תקופתי</t>
  </si>
  <si>
    <t xml:space="preserve">7% * 100 = </t>
  </si>
  <si>
    <t xml:space="preserve">ריבית נקובה </t>
  </si>
  <si>
    <t>ליחידת אג״ח</t>
  </si>
  <si>
    <t>נתונה בשאלה</t>
  </si>
  <si>
    <t>שווי אג״ח - נתון בשאלה</t>
  </si>
  <si>
    <t>מחיר ההון הזר</t>
  </si>
  <si>
    <t>kD =</t>
  </si>
  <si>
    <t xml:space="preserve">7 / 95 = </t>
  </si>
  <si>
    <t xml:space="preserve">שווי </t>
  </si>
  <si>
    <t>סכום קופון</t>
  </si>
  <si>
    <t>יחידת אג״ח</t>
  </si>
  <si>
    <t>תקופתי באג״ח</t>
  </si>
  <si>
    <t>זהירות! מחיר ההון הזר ניתן לחישוב בתור הפרופורציה הפשוטה שבין הקופון לשווי האג״ח</t>
  </si>
  <si>
    <t>רק כאשר מדובר באג״ח צמיתה - לנצח (שזה המקרה כאן).</t>
  </si>
  <si>
    <t>במקרים אחרים, שבהן האג״ח לתקופה מוגבלת, יכולנו לחלץ את מחיר ההון הזר על בסיס</t>
  </si>
  <si>
    <t>הצגת תזרימי האג״ח וחישוב irr או rate כמו בשיעורים הראשונים.</t>
  </si>
  <si>
    <t>שלב 2: מחיר ההון העצמי לפי נתוני מודל ה - CAPM:</t>
  </si>
  <si>
    <t xml:space="preserve">הואיל ובשאלה נתונים מפורשים לגבי הריבית חסרת הסיכון - 5%, לגבי תוחלת תשואת תיק השוק - 15%, </t>
  </si>
  <si>
    <t xml:space="preserve">ולגבי הביטא של מניית החברה - 2.7, אפשר לחשב את התשואה הנדרשת על המניה על ידי מודל תמחור </t>
  </si>
  <si>
    <t>הנכסים, ה CAPM כדלקמן:</t>
  </si>
  <si>
    <t>שלב 3: חישוב שווי ההון העצמי (תמחור מניה בהנחת דיבידנד תחילת תקופתי ומכפלה במס׳ המניות):</t>
  </si>
  <si>
    <r>
      <t xml:space="preserve">שימו לב - שבכדי לקבוע שווי מניה - עלינו להתייחס במקרה זה לעובדה שהדיבידנד הקרוב </t>
    </r>
    <r>
      <rPr>
        <b/>
        <sz val="12"/>
        <color theme="1"/>
        <rFont val="David"/>
      </rPr>
      <t>מחר</t>
    </r>
    <r>
      <rPr>
        <sz val="12"/>
        <color theme="1"/>
        <rFont val="David"/>
      </rPr>
      <t xml:space="preserve"> (זמן אפס), </t>
    </r>
  </si>
  <si>
    <t>והואיל ונוסחת ההיוון הבסיסית לתמחור מניות מקפיצה תמיד אחת אחורה ביחס לדיבידנד הקרוב,</t>
  </si>
  <si>
    <t xml:space="preserve">הרי שיישומה הבסיסי וללא התאמה יוביל לשווי המניה במונחי זמן 1-, וזה לא מה שנרצה. </t>
  </si>
  <si>
    <t>הנוסחה הסטנדרטית</t>
  </si>
  <si>
    <t>הנוסחה המתאימה את הערכים</t>
  </si>
  <si>
    <t>דיב׳ קרוב בזמן 1</t>
  </si>
  <si>
    <r>
      <t>לזמן אפס, במקרה של דיב׳ קרוב ״</t>
    </r>
    <r>
      <rPr>
        <b/>
        <sz val="12"/>
        <color theme="1"/>
        <rFont val="David"/>
      </rPr>
      <t>מחר</t>
    </r>
    <r>
      <rPr>
        <sz val="12"/>
        <color theme="1"/>
        <rFont val="David"/>
      </rPr>
      <t>״</t>
    </r>
  </si>
  <si>
    <t>הדיבידנד לא צומח, סכומו 10, ובהצבת מחיר ההון נקבל שווי מניה כדלקמן:</t>
  </si>
  <si>
    <t>בחברה יש 5,000 מניות ולכן אוכל לחשב בקלות את סך שווי ההון העצמי שלה:</t>
  </si>
  <si>
    <t>שלב 4: חישוב משקלים ומחיר הון משוקלל:</t>
  </si>
  <si>
    <t>שווי החוב:</t>
  </si>
  <si>
    <t>נתון בשאלה: 1,000 אגרות חוב והשווי של כל אחת 95 ש״ח.</t>
  </si>
  <si>
    <t>שווי ההון העצמי:</t>
  </si>
  <si>
    <t>חושב לעיל.</t>
  </si>
  <si>
    <t>שווי כולל:</t>
  </si>
  <si>
    <t>משקל הון עצמי:</t>
  </si>
  <si>
    <t xml:space="preserve">wE = E/V = 206,250 / 301,250 =  </t>
  </si>
  <si>
    <t>משקל הון זר:</t>
  </si>
  <si>
    <t xml:space="preserve">wD = 1 - wE = D/V = </t>
  </si>
  <si>
    <t>מחיר ההון המשוקלל:</t>
  </si>
  <si>
    <t>התא המכיל</t>
  </si>
  <si>
    <t>את משקל</t>
  </si>
  <si>
    <t xml:space="preserve">את משקל ההון </t>
  </si>
  <si>
    <t>ההון הזר wD</t>
  </si>
  <si>
    <t>העצמי wE</t>
  </si>
  <si>
    <t>מימון מתקדם לחשבונאים - הרצאה 9 - מבנה ההון ושווי החברה, סיכונים פיננסיים</t>
  </si>
  <si>
    <t>רקע - מינוף פיננסי וסיכון לבעלים</t>
  </si>
  <si>
    <t>מנוף פיננסי = משמעו נטילת התחייבויות (מימון באג״ח / בהלוואות בנוסף למימון בהון עצמי - מניות).</t>
  </si>
  <si>
    <t xml:space="preserve">אנו כבר יודעים כיצד לחשב תשואות על התחייבויות בגין אג״ח; ויודעים לבצע מגוון שיקלולים לגבי הריבית על ההון </t>
  </si>
  <si>
    <t>הזר - האג״ח, ושיעור התשואה הנדרש על ההון העצמי (על המניות) וכך להגיע למחיר ההון הכולל (WACC).</t>
  </si>
  <si>
    <t>מטרתנו במפגש הזה היא לדון במינוף פיננסי (=נטילת התחייבויות כגון הלוואות ואג״ח) משתי זוויות אחרות:</t>
  </si>
  <si>
    <t>א. מנוף פיננסי - מטיל התחייבות לתשלומים קבועים. כאלו שאינם תלויים בביצועים. כי ריבית משלמים גם כשנכשלים.</t>
  </si>
  <si>
    <t xml:space="preserve">     לפיכך, תרחישי כישלון (רווחיות נמוכה) יכולים להעמיק אם החברה ממונפת פיננסית. במלים אחרות, ככל שמבנה</t>
  </si>
  <si>
    <r>
      <t xml:space="preserve">     ההון ממונף יותר, </t>
    </r>
    <r>
      <rPr>
        <b/>
        <sz val="12"/>
        <color theme="1"/>
        <rFont val="David"/>
      </rPr>
      <t>סטיית התקן של הרווח למניה</t>
    </r>
    <r>
      <rPr>
        <sz val="12"/>
        <color theme="1"/>
        <rFont val="David"/>
      </rPr>
      <t xml:space="preserve"> -</t>
    </r>
    <r>
      <rPr>
        <b/>
        <sz val="12"/>
        <color theme="1"/>
        <rFont val="David"/>
      </rPr>
      <t xml:space="preserve"> </t>
    </r>
    <r>
      <rPr>
        <sz val="12"/>
        <color theme="1"/>
        <rFont val="David"/>
      </rPr>
      <t>סיכון בעלי המניות, גבוה יותר.</t>
    </r>
  </si>
  <si>
    <t>ב. ההשפעה של מנוף פיננסי על WACC - מנוף פיננסי יכול להשפיע על סיכון אבל גם על תשואה / רווח (יכול להגדיל).</t>
  </si>
  <si>
    <t xml:space="preserve">    נשאלת השאלה: אם גם הסיכון עלול לגדול, אבל גם התשואה - מה חזק יותר? האם בסך הכל ההשפעה הכוללת </t>
  </si>
  <si>
    <t xml:space="preserve">    של מינוף פיננסי על מחיר ההון הכולל WACC חיובית או שלילית?</t>
  </si>
  <si>
    <t>נוסחאות עיקריות שנדרשות לדיון</t>
  </si>
  <si>
    <t>נוסחה (3) - מודל מודיליאני ומילר בעולם ללא מסים וללא סיכון פשיטת רגל:</t>
  </si>
  <si>
    <t>א. WACC איננו תלוי במבנה ההון. הגדלת המינוף הפינסי / הקטנתו לא משנה אותו.</t>
  </si>
  <si>
    <t xml:space="preserve">ב. שווי החברה הכולל (סיכום שווי ההון העצמי וההון הזר = V) בלתי תלוי בדרגת המינוף הפיננסי. </t>
  </si>
  <si>
    <t>נוסחה (4) - מודל מודיליאני ומילר בעולם עם מסים וללא סיכון פשיטת רגל:</t>
  </si>
  <si>
    <t>א. WACC קטן ככל שדרגת המינוף הפיננסי עולה.</t>
  </si>
  <si>
    <t>ב. שווי החברה הכולל V גדל ככל שדרגת המינוף הפיננסי עולה.</t>
  </si>
  <si>
    <t>הסבירו מהו הקשר בין מקדם הסיכון השיטתי (הביטא) לבין מחיר ההון של החברה: האם הקשר חיובי, שלילי, ומדוע?</t>
  </si>
  <si>
    <t xml:space="preserve">אלא אם נאמר אחרת: מחיר ההון = הכולל = WACC. </t>
  </si>
  <si>
    <t>WACC = kE * (E/V)  + kD * (1 - t) * (D/V)</t>
  </si>
  <si>
    <t>לכאורה, הביטא (מדד סיכון) איננה נכללת כגורם משפיע בנוסחה זו, אבל... כמובן שכן יש לה השפעה עקיפה לאור</t>
  </si>
  <si>
    <r>
      <t xml:space="preserve">kE = RF + [E(M) - RF] * </t>
    </r>
    <r>
      <rPr>
        <sz val="20"/>
        <color theme="1"/>
        <rFont val="David"/>
      </rPr>
      <t>ᵦ</t>
    </r>
  </si>
  <si>
    <t>החצים ממחישים הדגמה שבה אם ביטא עולה, מחיר ההון העצמי עולה (כמובן אם ביטא יורדת, מחיר ההון העצמי יורד).</t>
  </si>
  <si>
    <t xml:space="preserve">כמובן תהיה לכך השפעה נגררת על מחיר ההון הכולל. </t>
  </si>
  <si>
    <t>אם מבוצע מינוף פיננסי (נטילת הלוואות) הסיכון הפיננסי לבעלים גדל, והם (תשואת בעלים נדרשת)</t>
  </si>
  <si>
    <t>דורשים תשואה גבוהה יותר.</t>
  </si>
  <si>
    <t>הבהרה:</t>
  </si>
  <si>
    <t>עלייה בביטא</t>
  </si>
  <si>
    <t>הגורם:</t>
  </si>
  <si>
    <t>גורם אחר</t>
  </si>
  <si>
    <t>מנוף פיננסי</t>
  </si>
  <si>
    <t>כגון: שינוי בסביבה התחרותית</t>
  </si>
  <si>
    <t>נטילת התחייבויות</t>
  </si>
  <si>
    <t>מחיר ההון העצמי גדל</t>
  </si>
  <si>
    <t>מחיר ההון הכולל: לא בהכרח, תכף נסביר</t>
  </si>
  <si>
    <t>מחיר ההון הכולל גדל</t>
  </si>
  <si>
    <t>שאלה 2 - מחיר ההון העצמי מול מחיר הון כולל</t>
  </si>
  <si>
    <t>הסבירו מהו ההבדל בין מחיר ההון העצמי של החברה לבין מחיר ההון הכולל של החברה.</t>
  </si>
  <si>
    <t xml:space="preserve">מחיר ההון הכולל - WACC: </t>
  </si>
  <si>
    <t>שיעור תשואה נדרש שמביא בחשבון את:</t>
  </si>
  <si>
    <t xml:space="preserve">התשואה הנדרשת על ידי בעלי המניות (מחיר ההון העצמי) - kE. </t>
  </si>
  <si>
    <t xml:space="preserve">התשואה הנדרשת על ידי ספקי החוב (מחיר ההון הזר) - kD. </t>
  </si>
  <si>
    <t>המשקל (החלק היחסי של הון ושל חוב) בסך המשאבים / שווי החברה.</t>
  </si>
  <si>
    <t>שאלה 3 - המשמעות של מנוף פיננסי בהקשר למבנה ההון ומחיר ההון העצמי</t>
  </si>
  <si>
    <t>הגדירו את המושג ״מנוף פיננסי״, והסבירו את הקשר בינו לבין מחיר ההון העצמי (חיובי / שלילי). נמקו.</t>
  </si>
  <si>
    <t>במלים אחרות:</t>
  </si>
  <si>
    <t>כאשר המנוף הפיננסי גדל, הרי ש:</t>
  </si>
  <si>
    <t>א. מחיר ההון העצמי גדל בהכרח</t>
  </si>
  <si>
    <t>מנוף פיננסי = נטילת התחייבויות</t>
  </si>
  <si>
    <t>ב. מחיר ההון העצמי קטן בהכרח</t>
  </si>
  <si>
    <t>היחס בין החוב להון</t>
  </si>
  <si>
    <t>ג. מחיר ההון העצמי לא משתנה</t>
  </si>
  <si>
    <t>ד. תלוי בגורמים חיצוניים</t>
  </si>
  <si>
    <t>ה. אין אף תשובה נכונה / חסרים נתונים</t>
  </si>
  <si>
    <t>לגבי מחיר ההון הכולל - לא ניתן לטעון טענה כזו, אך לא נשאלנו על כך, ונרחיב על קשר זה אוטוטו...</t>
  </si>
  <si>
    <t>שאלה 4 - הפער שבין מחיר ההון העצמי ומחיר ההון הזר</t>
  </si>
  <si>
    <t>האם מחיר ההון העצמי צפוי להיות גבוה ממחיר ההון הזר או נמוך יותר? נמקו.</t>
  </si>
  <si>
    <t>קיים קשר חיובי בין סיכון ותשואה.</t>
  </si>
  <si>
    <t>ככל שבמכשיר פיננסי מסויים הסיכון גבוה יותר, התשואה הנדרשת על ידי משקיעים בו תהיה גבוהה יותר.</t>
  </si>
  <si>
    <t>כאשר מדובר באותה החברה, הרי שבהכרח מכשירי החוב שלה, לרבות אג״ח, מסוכנים פחות ממכשירי ההון שלה,</t>
  </si>
  <si>
    <t xml:space="preserve">כגון מניות. </t>
  </si>
  <si>
    <t>מדוע?</t>
  </si>
  <si>
    <t>א. התקבולים באג״ח קבועים ומובטחים - כל עוד החברה בעלת כושר פירעון.</t>
  </si>
  <si>
    <t>לעומת זאת, התקבולים למשקיע במניה תלויים ברווחי החברה והחלטותיה על דיבידנדים.</t>
  </si>
  <si>
    <t xml:space="preserve">ב. גם במצב של חדלות פירעון או קשיי פירעון - בעלי האג״ח מקבלים עדיפות / קדימות </t>
  </si>
  <si>
    <t>בהשבת הכספים.</t>
  </si>
  <si>
    <t>מסקנה: מחיר ההון העצמי בכל חברה יהיה גבוה תמיד ממחיר ההון הזר באותה החברה.</t>
  </si>
  <si>
    <t>שאלה 5 - הקבלה לשאלה 2 בתרגיל בית 4</t>
  </si>
  <si>
    <t>מחיר הון כולל:</t>
  </si>
  <si>
    <t>WACC = kE * (E/V)  + kD * (D/V)</t>
  </si>
  <si>
    <t>אם אין מסים ומנוף פינ׳ גדל (D גדל):</t>
  </si>
  <si>
    <t>לכן, מחיר ההון העצמי גדל:</t>
  </si>
  <si>
    <t>כי הסיכון לבעלים גדל.</t>
  </si>
  <si>
    <t>לפי הנחות המודל המחייב (מודיליאני ומילר) התשואה הנדרשת על החוב ללא שינוי (כי המודל מניח שאין סיכון פשיטת רגל):</t>
  </si>
  <si>
    <t>לכן, מחיר ההון הזר לא משתנה, והוא עדיין זול (נמוך יחסית)</t>
  </si>
  <si>
    <t>המסקנה המחייבת אותנו היא:</t>
  </si>
  <si>
    <t>מינוף פיננסי מגדיל את מחיר ההון העצמי, אך מקטין את משקל ההון העצמי בסך מקורות המימון;</t>
  </si>
  <si>
    <t>בנוסף הוא מגדיל את משקל ההון הזר, שהוא בעל תשואה נדרשת נמוכה יותר בהגדרה.</t>
  </si>
  <si>
    <t>שאלה 6 - הקבלה לשאלה 4 בתרגיל בית 4</t>
  </si>
  <si>
    <t>חוו בגין כל טענה האם היא נכונה / לא נכונה, ונמקו:</t>
  </si>
  <si>
    <t>טענה 1: ייתכן שמחיר ההון הזר בחברה גבוה ממחיר ההון העצמי.</t>
  </si>
  <si>
    <t>טענה 2: ייתכן שמחיר ההון העצמי של החברה לא יושפע בכלל מדרגת המנוף הפיננסי.</t>
  </si>
  <si>
    <t>טענה 3: בעולם ללא מסים וללא פשיטת רגל, תחת הנחות מודיליאני ומילר, ככל שמבנה ההון הוא ממונף יותר,</t>
  </si>
  <si>
    <t>מחיר ההון המשוקלל (עלות ההון המשוקלל) של חברה גדל.</t>
  </si>
  <si>
    <t>טענה 4: בעולם ללא מסים וללא פשיטת רגל, תחת הנחות מודיליאני ומילר, שינויים במבנה ההון ובדרגת</t>
  </si>
  <si>
    <t>המינוף הפיננסי לא ישפיעו על מחיר ההון המשוקלל של החברה.</t>
  </si>
  <si>
    <t>טענה 5: תחת הנחות מודיליאני ומילר, בעולם ללא מסים וללא פשיטת רגל, מחיר ההון הזר / הריבית על החוב עולה,</t>
  </si>
  <si>
    <t>ככל שדרגת המינוף הפיננסי עולה.</t>
  </si>
  <si>
    <t xml:space="preserve">טענה 6: תחת הנחות מודיליאני ומילר, בעולם ללא מסים וללא פשיטת רגל, מחיר ההון הזר / הריבית על החוב </t>
  </si>
  <si>
    <t>נותרת קבועה - גם אם דרגת המינוף הפיננסי משתנה.</t>
  </si>
  <si>
    <t xml:space="preserve">בכל היקף שהוא - זהה. </t>
  </si>
  <si>
    <t>שאלה 7 - הקבלה לשאלה 3 בתרגיל בית 4</t>
  </si>
  <si>
    <t xml:space="preserve">בעולם ללא מס וללא פשיטת רגל, שער הריבית נטולת הסיכון הנו 2%. עלות ההון ממוצע משוקלל (WACC) של </t>
  </si>
  <si>
    <t xml:space="preserve">טענה 1: אם בחברת ״להיט הכי טוב״ שזהה ל״קינז לבנוני״ בכל מובן פרט למבנה ההון, שיעור ההון העצמי הוא 95%, </t>
  </si>
  <si>
    <t>כלומר גבוה יותר, הרי ש - WACC בחברת ״להיט הכי טוב״ יהיה גבוה מ-15%.</t>
  </si>
  <si>
    <t xml:space="preserve">טענה 2: אם בחברת ״להיט הכי טוב״ שזהה ל״קינז לבנוני״ בכל מובן פרט למבנה ההון, שיעור ההון העצמי הוא 95%, </t>
  </si>
  <si>
    <t>כלומר גבוה יותר, הרי ש - WACC בחברת ״להיט הכי טוב״ יהיה נמוך מ-15%.</t>
  </si>
  <si>
    <t xml:space="preserve">טענה 3: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</si>
  <si>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נמוך מ-15%.</t>
  </si>
  <si>
    <t xml:space="preserve">טענה 4: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</si>
  <si>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זהה לזה של ״קינז לבנוני״.</t>
  </si>
  <si>
    <t xml:space="preserve">טענה 5: אם בחברת ״להיט הכי טוב״ שזהה ל״קינז לבנוני״ בכל מובן פרט למבנה ההון, שיעור ההון העצמי הוא 95%, </t>
  </si>
  <si>
    <t>כלומר גבוה יותר, הרי ש - kE (מחיר ההון העצמי) בחברת ״להיט הכי טוב״ יהיה נמוך מזה של ״קינז לבנוני״.</t>
  </si>
  <si>
    <t>כלומר גבוה יותר (בקינז לבנוני שיעור ההון העצמי 70%), הרי ש - WACC בחברת ״להיט הכי טוב״ יהיה גבוה מ-15%.</t>
  </si>
  <si>
    <t>קינז</t>
  </si>
  <si>
    <t>להיט</t>
  </si>
  <si>
    <t>פועלים לפי מודיליאני ומילר,</t>
  </si>
  <si>
    <t>שיעור הון עצמי</t>
  </si>
  <si>
    <t>ללא מס, ללא פשיטת רגל</t>
  </si>
  <si>
    <t>שיעור מימון בהון זר</t>
  </si>
  <si>
    <t>שימו לב:</t>
  </si>
  <si>
    <t>שיעור הון עצמי הוא לא מחיר הון עצמי, אלא E/V, כלומר מהו האחוז מסך נכסי החברה שממומן בהון עצמי.</t>
  </si>
  <si>
    <t>שיעור הון זר הוא לא מחיר ההון הזר, אלא D/V, כלומר מהו האחוז מסך נכסי החברה שממומן בהון זר.</t>
  </si>
  <si>
    <t xml:space="preserve">הואיל ופועלים בעולם ללא מסים / ללא פשיטת רגל, ה - WACC נותר זהה כשמשנים את מבנה ההון. </t>
  </si>
  <si>
    <t>מחיר הון עצמי kE</t>
  </si>
  <si>
    <t>kE(Keinaz)</t>
  </si>
  <si>
    <t>kE(Lahit)</t>
  </si>
  <si>
    <t>הואיל ובחברת קינז שיעור המימון בהון זר (קרי המנוף הפיננסי) גבוה יותר, הסיכון הפיננסי לבעלי המניות בקינז</t>
  </si>
  <si>
    <t>גבוה יותר. בהתאמה, ידרשו תשואה גבוהה יותר, ולכן מתקיים:</t>
  </si>
  <si>
    <t>kE(Lahit) &lt; kE(Keinaz)</t>
  </si>
  <si>
    <t>לכן טענה 5 נכונה.</t>
  </si>
  <si>
    <r>
      <t xml:space="preserve">אג״ח = אגרת חוב, מסמך שמונפק על ידי חברה ומגדיר </t>
    </r>
    <r>
      <rPr>
        <b/>
        <sz val="12"/>
        <color theme="1"/>
        <rFont val="David"/>
      </rPr>
      <t>סכום</t>
    </r>
    <r>
      <rPr>
        <sz val="12"/>
        <color theme="1"/>
        <rFont val="David"/>
      </rPr>
      <t xml:space="preserve"> וגם </t>
    </r>
    <r>
      <rPr>
        <b/>
        <sz val="12"/>
        <color theme="1"/>
        <rFont val="David"/>
      </rPr>
      <t>עיתוי</t>
    </r>
    <r>
      <rPr>
        <sz val="12"/>
        <color theme="1"/>
        <rFont val="David"/>
      </rPr>
      <t xml:space="preserve"> (מה ישולם, מתי ישולם) של </t>
    </r>
    <r>
      <rPr>
        <b/>
        <sz val="12"/>
        <color theme="1"/>
        <rFont val="David"/>
      </rPr>
      <t>תזרימי מזומנים</t>
    </r>
  </si>
  <si>
    <t xml:space="preserve">הצד שמנפיק את אגרת החוב (החברה) - מתחייב לבצע תשלומים מוגדרים לצד שרכש את אגרת החוב. </t>
  </si>
  <si>
    <r>
      <t xml:space="preserve">חברה הנפיקה אגרת חוב (אג״ח), אשר </t>
    </r>
    <r>
      <rPr>
        <b/>
        <sz val="12"/>
        <color theme="1"/>
        <rFont val="David"/>
      </rPr>
      <t>ערכה הנקוב 100</t>
    </r>
    <r>
      <rPr>
        <sz val="12"/>
        <color theme="1"/>
        <rFont val="David"/>
      </rPr>
      <t xml:space="preserve"> ש״ח. </t>
    </r>
  </si>
  <si>
    <t>ערך נקוב:</t>
  </si>
  <si>
    <t>סכום שעל בסיסו יחושבו תזרימי המזומנים בגין ריבית:</t>
  </si>
  <si>
    <r>
      <t xml:space="preserve">כל תקופה משלמים: </t>
    </r>
    <r>
      <rPr>
        <b/>
        <sz val="12"/>
        <color rgb="FFFF0000"/>
        <rFont val="David"/>
      </rPr>
      <t>ערך נקוב * ריבית נקובה = קופון</t>
    </r>
  </si>
  <si>
    <r>
      <t xml:space="preserve">הערך הנקוב של האג״ח ייפרע בתשלום אחד </t>
    </r>
    <r>
      <rPr>
        <b/>
        <sz val="12"/>
        <color theme="1"/>
        <rFont val="David"/>
      </rPr>
      <t>בחלוף 6 שנים</t>
    </r>
    <r>
      <rPr>
        <sz val="12"/>
        <color theme="1"/>
        <rFont val="David"/>
      </rPr>
      <t>.</t>
    </r>
  </si>
  <si>
    <t>בנוסף: הערך הנקוב בעצמו משולם בתשלום אחד</t>
  </si>
  <si>
    <t>או במספר תשלומים לפי הגדרות האג״ח.</t>
  </si>
  <si>
    <r>
      <rPr>
        <b/>
        <sz val="12"/>
        <color theme="1"/>
        <rFont val="David"/>
      </rPr>
      <t>שווי האג״ח</t>
    </r>
    <r>
      <rPr>
        <sz val="12"/>
        <color theme="1"/>
        <rFont val="David"/>
      </rPr>
      <t xml:space="preserve"> ייקח את התזרימים </t>
    </r>
    <r>
      <rPr>
        <b/>
        <sz val="12"/>
        <color theme="1"/>
        <rFont val="David"/>
      </rPr>
      <t>ויהוון אותם (יחשב להם ערך נוכחי)</t>
    </r>
    <r>
      <rPr>
        <sz val="12"/>
        <color theme="1"/>
        <rFont val="David"/>
      </rPr>
      <t xml:space="preserve"> לפי שיעור התשואה לפדיון.</t>
    </r>
  </si>
  <si>
    <t xml:space="preserve">pv = </t>
  </si>
  <si>
    <t>שווי האג״ח היום, הנדרש</t>
  </si>
  <si>
    <r>
      <t xml:space="preserve">תמיד ה - rate, ריבית להיוון - הוא לפי </t>
    </r>
    <r>
      <rPr>
        <u/>
        <sz val="12"/>
        <color theme="1"/>
        <rFont val="David"/>
      </rPr>
      <t>שיעור תשואה לפדיון</t>
    </r>
  </si>
  <si>
    <t>מספר תזרימי המזומנים הקבועים - מספר הקופונים</t>
  </si>
  <si>
    <t>הקופון הקבוע</t>
  </si>
  <si>
    <t>ערך נקוב (כי במקרה זה משולם בתשלום אחד בתום העסקה)</t>
  </si>
  <si>
    <t>המשמעות:</t>
  </si>
  <si>
    <t xml:space="preserve">המשקיע יהיה מוכן לשלם (ולכן הסימן שלילי) לכל היותר סכום של 90.47 ש״ח בעד האג״ח. </t>
  </si>
  <si>
    <t xml:space="preserve">במלים אחרות, שווי האג״ח (התמורה בעד הנפקת האג״ח בחברה) 90.47 ש״ח. </t>
  </si>
  <si>
    <r>
      <t xml:space="preserve">דרך 1 - פונקציית </t>
    </r>
    <r>
      <rPr>
        <b/>
        <sz val="12"/>
        <color theme="1"/>
        <rFont val="David"/>
      </rPr>
      <t>PV</t>
    </r>
  </si>
  <si>
    <t xml:space="preserve">ניתן לחשב שווי אג״ח כערך נוכחי גם עם פונקציית npv. </t>
  </si>
  <si>
    <t xml:space="preserve">כאשר מצליחים לסדר את כל נתוני תזרימי האג״ח ברצף בטבלה - </t>
  </si>
  <si>
    <t xml:space="preserve">אפשר פשוט ״לרוץ״ על תזרימי הטבלה עם NPV. </t>
  </si>
  <si>
    <r>
      <t xml:space="preserve">יהיו מקרים שבהם התזרימים לא יהיו קבועים, ולכן </t>
    </r>
    <r>
      <rPr>
        <b/>
        <sz val="12"/>
        <color theme="1"/>
        <rFont val="David"/>
      </rPr>
      <t>חובה</t>
    </r>
    <r>
      <rPr>
        <sz val="12"/>
        <color theme="1"/>
        <rFont val="David"/>
      </rPr>
      <t xml:space="preserve"> להכיר טכניקה זו. </t>
    </r>
  </si>
  <si>
    <t>התייחסות לאגרות חוב המשלמות ריבית בתדירויות שונות משנה (כל חצי שנה) והמרות ריבית ותשואה לפדיון</t>
  </si>
  <si>
    <r>
      <t xml:space="preserve">חברה הנפיקה אג״ח שערכה הנקוב 100 ש״ח ואשר משלמת ריבית נקובה </t>
    </r>
    <r>
      <rPr>
        <b/>
        <u/>
        <sz val="12"/>
        <color theme="1"/>
        <rFont val="David"/>
      </rPr>
      <t>שנתית</t>
    </r>
    <r>
      <rPr>
        <sz val="12"/>
        <color theme="1"/>
        <rFont val="David"/>
      </rPr>
      <t xml:space="preserve"> בשיעור 6% </t>
    </r>
    <r>
      <rPr>
        <b/>
        <u/>
        <sz val="12"/>
        <color theme="1"/>
        <rFont val="David"/>
      </rPr>
      <t>פעמיים בשנה</t>
    </r>
    <r>
      <rPr>
        <sz val="12"/>
        <color theme="1"/>
        <rFont val="David"/>
      </rPr>
      <t xml:space="preserve"> (</t>
    </r>
    <r>
      <rPr>
        <u/>
        <sz val="12"/>
        <color theme="1"/>
        <rFont val="David"/>
      </rPr>
      <t>כל חצי שנה</t>
    </r>
    <r>
      <rPr>
        <sz val="12"/>
        <color theme="1"/>
        <rFont val="David"/>
      </rPr>
      <t xml:space="preserve">). </t>
    </r>
  </si>
  <si>
    <t>לשם חישוב הקופון (שמצידו הוא ריבית נקובה * ערך נקוב). הקופון שישולם כל חצי שנה:</t>
  </si>
  <si>
    <t xml:space="preserve">3% * 100 = </t>
  </si>
  <si>
    <t xml:space="preserve">באיזו ריבית נהוון תזרימים אלו? בשיעור התשואה לפדיון. </t>
  </si>
  <si>
    <t xml:space="preserve">נתון: שיעור התשואה לפדיון 10.25%. </t>
  </si>
  <si>
    <r>
      <t xml:space="preserve">שיעור תשואה לפדיון </t>
    </r>
    <r>
      <rPr>
        <b/>
        <u/>
        <sz val="12"/>
        <color theme="1"/>
        <rFont val="David"/>
      </rPr>
      <t>תמיד</t>
    </r>
    <r>
      <rPr>
        <b/>
        <sz val="12"/>
        <color theme="1"/>
        <rFont val="David"/>
      </rPr>
      <t xml:space="preserve"> במונחים שנתיים. </t>
    </r>
  </si>
  <si>
    <t>הואיל והתזרימים חצי שנתיים, צריך לתאם אותו לחצי שנה. השאלה - איך? האם באמצעות חלוקה ב-2?</t>
  </si>
  <si>
    <r>
      <t xml:space="preserve">התשובה: לא! כי שיעור התשואה לפדיון הוא תמיד במונחי ריבית </t>
    </r>
    <r>
      <rPr>
        <b/>
        <u/>
        <sz val="12"/>
        <color theme="1"/>
        <rFont val="David"/>
      </rPr>
      <t>אפקטיבית</t>
    </r>
    <r>
      <rPr>
        <b/>
        <sz val="12"/>
        <color theme="1"/>
        <rFont val="David"/>
      </rPr>
      <t xml:space="preserve"> (ולא נקובה). </t>
    </r>
  </si>
  <si>
    <t>התאמת שיעור התשואה לפדיון תבוצע באמצעות חזקה:</t>
  </si>
  <si>
    <t>שווי האג״ח בחישוב npv:</t>
  </si>
  <si>
    <t>כאשר מדובר באג״ח המשלמת קופונים קבועים</t>
  </si>
  <si>
    <t>והערך הנקוב נפרע בתשלום אחד</t>
  </si>
  <si>
    <r>
      <t xml:space="preserve">אפשר לחשב שווי </t>
    </r>
    <r>
      <rPr>
        <b/>
        <sz val="12"/>
        <color theme="1"/>
        <rFont val="David"/>
      </rPr>
      <t>גם</t>
    </r>
    <r>
      <rPr>
        <sz val="12"/>
        <color theme="1"/>
        <rFont val="David"/>
      </rPr>
      <t xml:space="preserve"> באמצעות pv (ולא רק עם NPV).</t>
    </r>
  </si>
  <si>
    <t>דרך נוספת - שימוש ב - PV</t>
  </si>
  <si>
    <t xml:space="preserve">שווי האג״ח </t>
  </si>
  <si>
    <t>שיעור תשואה לפדיון לתקופת תשלום (כאן - לחצי שנה)</t>
  </si>
  <si>
    <t>ערך נקוב שנפרע בתשלום אחד</t>
  </si>
  <si>
    <r>
      <t xml:space="preserve">מספר </t>
    </r>
    <r>
      <rPr>
        <u/>
        <sz val="12"/>
        <color theme="1"/>
        <rFont val="David"/>
      </rPr>
      <t>התשלומים - כל חצי שנה, 8 שנים, לכן 16</t>
    </r>
    <r>
      <rPr>
        <sz val="12"/>
        <color theme="1"/>
        <rFont val="David"/>
      </rPr>
      <t xml:space="preserve"> </t>
    </r>
  </si>
  <si>
    <t>סיכום ביניים - אגרות חוב ״פשוטות״ = שנפרעות בתשלום אחד, והקופון קבוע:</t>
  </si>
  <si>
    <r>
      <t xml:space="preserve">ריבית נקובה = שימושית לחישובי קופון, ומתאמים לתקופות על ידי </t>
    </r>
    <r>
      <rPr>
        <u/>
        <sz val="12"/>
        <color theme="1"/>
        <rFont val="David"/>
      </rPr>
      <t>חילוק</t>
    </r>
    <r>
      <rPr>
        <sz val="12"/>
        <color theme="1"/>
        <rFont val="David"/>
      </rPr>
      <t xml:space="preserve">. </t>
    </r>
  </si>
  <si>
    <r>
      <t xml:space="preserve">שיעור תשואה לפדיון = שימושי לחישובי היוון (npv או pv) - בעצם, זה ה - rate, ומתאמים לתקופה על ידי </t>
    </r>
    <r>
      <rPr>
        <u/>
        <sz val="12"/>
        <color theme="1"/>
        <rFont val="David"/>
      </rPr>
      <t>חזקה</t>
    </r>
    <r>
      <rPr>
        <sz val="12"/>
        <color theme="1"/>
        <rFont val="David"/>
      </rPr>
      <t>.</t>
    </r>
  </si>
  <si>
    <t xml:space="preserve">ערך נקוב = נפרע בתשלום אחד בסיום העסקה. </t>
  </si>
  <si>
    <t>חישוב השווי:</t>
  </si>
  <si>
    <t>ניתן עם PV</t>
  </si>
  <si>
    <t>ניתן עם NPV</t>
  </si>
  <si>
    <t>תמיד = אך צריך לבנות טבלת תזרימים מלאה (באג״ח לשנים רבות, קצת מעצבן...)</t>
  </si>
  <si>
    <t xml:space="preserve">תמיד = אך ההמלצה היא להשתמש רק כשבאמת האג״ח לשניםם ארוכות. </t>
  </si>
  <si>
    <r>
      <t xml:space="preserve">כאשר אזהה אג״ח שהערך הנקוב שלה נפרע </t>
    </r>
    <r>
      <rPr>
        <u/>
        <sz val="12"/>
        <color theme="1"/>
        <rFont val="David"/>
      </rPr>
      <t>בתשלומים:</t>
    </r>
  </si>
  <si>
    <r>
      <t xml:space="preserve">הואיל ומדובר </t>
    </r>
    <r>
      <rPr>
        <b/>
        <sz val="14"/>
        <color rgb="FFFF0000"/>
        <rFont val="David"/>
      </rPr>
      <t>בסדרה של תזרימים שונים</t>
    </r>
    <r>
      <rPr>
        <sz val="12"/>
        <color theme="1"/>
        <rFont val="David"/>
      </rPr>
      <t xml:space="preserve"> חישוב ערכה הנוכחי יתבסס על פונקציית </t>
    </r>
    <r>
      <rPr>
        <b/>
        <sz val="18"/>
        <color theme="1"/>
        <rFont val="David"/>
      </rPr>
      <t>npv</t>
    </r>
    <r>
      <rPr>
        <sz val="12"/>
        <color theme="1"/>
        <rFont val="David"/>
      </rPr>
      <t xml:space="preserve">. </t>
    </r>
  </si>
  <si>
    <r>
      <rPr>
        <b/>
        <sz val="12"/>
        <color rgb="FF0070C0"/>
        <rFont val="David"/>
      </rPr>
      <t>אי אפשר!!!</t>
    </r>
    <r>
      <rPr>
        <sz val="12"/>
        <color theme="1"/>
        <rFont val="David"/>
      </rPr>
      <t xml:space="preserve"> לחשב שווי של אגרת חוב שנפרעת בתשלומים (תזרימים משתנים) עם pv. </t>
    </r>
  </si>
  <si>
    <t>כנתון, שיעור התשואה לפדיון לשנה</t>
  </si>
  <si>
    <t>לכן שווי האג״ח עם פונקציית NPV:</t>
  </si>
  <si>
    <t>תרגיל נוסף להמחשה: אג״ח הנפרעת לשיעורין בתשלומים חצי שנתיים</t>
  </si>
  <si>
    <t xml:space="preserve">חברת ״שייקה״ בע״מ הנפיקה אג״ח שערכה הנקוב 400 ש״ח. </t>
  </si>
  <si>
    <t>שיעור התשואה לפדיון הוא 6.09%.</t>
  </si>
  <si>
    <t>האג״ח היא לתקופה של שנתיים, והערך הנקוב נפרע בשני תשלומים חצי שנתיים</t>
  </si>
  <si>
    <t xml:space="preserve">בשנה ה-2 לקיום האג״ח. </t>
  </si>
  <si>
    <t>שלב 1</t>
  </si>
  <si>
    <t>תשלום ערך נקוב</t>
  </si>
  <si>
    <t>שלב 2 (עמודת עזר)</t>
  </si>
  <si>
    <t>יתרת ערך נקוב</t>
  </si>
  <si>
    <t>שלב 3</t>
  </si>
  <si>
    <t>תשלום קופון</t>
  </si>
  <si>
    <t>שלב 4</t>
  </si>
  <si>
    <t>סך התשלום</t>
  </si>
  <si>
    <t>שנה 1</t>
  </si>
  <si>
    <t>שנה 2</t>
  </si>
  <si>
    <t>תאמנו את הריבית הנקובה משנה לחצי שנה על ידי חלוקה ב-2, כך קיבלנו: 4% = 2 / 8% ואותה כפלנו ביתרת ערך נקוב.</t>
  </si>
  <si>
    <t>תאמנו את שיעור התשואה לפדיון (את ה - rate) על ידי חזקת 0.5, וספציפית:</t>
  </si>
  <si>
    <t>(1 + 6.09%)^0.5 - 1 = 3%</t>
  </si>
  <si>
    <t>הסברים נוספים:</t>
  </si>
  <si>
    <t xml:space="preserve">הערך הנקוב נפרע בתום כל חצי שנה בשנה האחרונה, קרי ב-2 תשלומים, של 200 = 2 / 400. </t>
  </si>
  <si>
    <t>יתרת הערך הנקוב היא תמיד יתרת הערך הנקוב לתקופה קודמת פחות תשלום הערך הנקוב בתקופה.</t>
  </si>
  <si>
    <t xml:space="preserve">תשלום הקופון נשען על הריבית הנקובה השנתית 8%, לאחר שמתאמים אותו לתקופה של חצי שנה. </t>
  </si>
  <si>
    <t xml:space="preserve">400 - 200 = </t>
  </si>
  <si>
    <t xml:space="preserve">200 - 200 = </t>
  </si>
  <si>
    <t>הסבר למטה</t>
  </si>
  <si>
    <t>שאלה 4 - יותר ״מורכבת״ - אג״ח הנפדית לשיעורין</t>
  </si>
  <si>
    <t>חברה הנפיקה ב-1.1.2018 אג״ח בעלת ערך נקוב של 500 ש״ח. האג״ח היא לתקופה של 5 שנים, כאשר קרן האג״ח</t>
  </si>
  <si>
    <t>נפרעת ב-4 תשלומים רבעוניים בשנה האחרונה של האג״ח. הריבית הנקובה השנתית היא 8% והיא משולמת</t>
  </si>
  <si>
    <t>בתדירות רבעונית, ואילו הריבית המשקפת את שיעור התשואה לפדיון (במונחים שנתיים) היא 12.550881%.</t>
  </si>
  <si>
    <t>נדרש: מהי התמורה הכוללת שתקבל החברה בעד ההנפקה (כמו לשאול: מהו שווי האג״ח / מחיר האג״ח ביום ההנפקה).</t>
  </si>
  <si>
    <t xml:space="preserve">תשלום ערך </t>
  </si>
  <si>
    <t>נקוב</t>
  </si>
  <si>
    <t>תשלום</t>
  </si>
  <si>
    <t>סך</t>
  </si>
  <si>
    <t>התשלום</t>
  </si>
  <si>
    <t xml:space="preserve">יתרת ערך נקוב - </t>
  </si>
  <si>
    <t>חישוב עזר</t>
  </si>
  <si>
    <t>תאריך(לא חובה)</t>
  </si>
  <si>
    <t>חישוב שיעור תשואה רבעוני לפדיון:</t>
  </si>
  <si>
    <t>שאלה 3 - עדיין קל - אג״ח הנפרעת בתשלום אחד, תשלום כל חצי שנה, פתרון בשיטת PV</t>
  </si>
  <si>
    <t>הרחבה: אם אתם ממש ממש חייבים לפתור עם טבלה ו - NPV, הנה החישוב:</t>
  </si>
  <si>
    <t>אם שיעור התשואה לפדיון</t>
  </si>
  <si>
    <t>אז השווי הוא</t>
  </si>
  <si>
    <t>Bat Yam (סטודנט מדהים שלי לשעבר) שאל: באיזו אג״ח כדאי להשקיע?</t>
  </si>
  <si>
    <t xml:space="preserve">בכל מקרה, בתור פותרי תרגילים בבית, כרגע אין צורך להעמיק בסוגיה זו (כך שאם זה לא ברור בעליל, דלגו כרגע). </t>
  </si>
  <si>
    <t xml:space="preserve">כל מה שהחישובים יודעים להגיד לנו - מה יהיה השווי עבור כל אחד מתרחישי הריבית האלטרנטיבית/ה rate. </t>
  </si>
  <si>
    <t>לחצו על התא כדי לראות את נוסחת החישוב</t>
  </si>
  <si>
    <t>התשובה</t>
  </si>
  <si>
    <t>בתאריך 1.6.2022 נסחרת אג״ח קונצרנית (קונצרנית = של חברה, בשונה מאג״ח ממשלתית המונפקת על ידי המדינה)</t>
  </si>
  <si>
    <t>המשלמת ריבית נקובה שנתית בשיעור 10% פעמיים בשנה, בתאריכים 1.3 ו-1.9 של כל שנה (תשלום הריבית הקרוב</t>
  </si>
  <si>
    <t xml:space="preserve">יבוצע ב-1.9.2022). האג״ח נפדית ב-4 תשלומים שנתיים שווים החל מה-1.9.2024.  </t>
  </si>
  <si>
    <t xml:space="preserve">שיעור התשואה השנתי לפדיון הוא 6.09% לשנה. </t>
  </si>
  <si>
    <t>מהו מחיר האג״ח היום (כלומר ב-1.6.2022)?</t>
  </si>
  <si>
    <t>היום</t>
  </si>
  <si>
    <t>פירעון 1</t>
  </si>
  <si>
    <t>פירעון 2</t>
  </si>
  <si>
    <t>פירעון 3</t>
  </si>
  <si>
    <t>פירעון 4</t>
  </si>
  <si>
    <t xml:space="preserve">נציג תחילה לוח תזרימים. ברירת המחדל היא שהערך הנקוב 4. </t>
  </si>
  <si>
    <t>ריבית להיוון - מונחים שנתיים:</t>
  </si>
  <si>
    <t>ריבית להיוון - מונחים חצי שנתיים:</t>
  </si>
  <si>
    <t>ערך מהוון של התזרימים</t>
  </si>
  <si>
    <t xml:space="preserve">אבל זו לא התשובה הסופית. מדוע? משום שכאשר מחשבים ערך נוכחי של מספר תזרימים, גם אם </t>
  </si>
  <si>
    <t xml:space="preserve">עושים זאת באמצעות פונקציית NPV, החישוב תמיד ״דוחף״ תקופת תשלום אחת אחורה לפני </t>
  </si>
  <si>
    <t>התזרים הראשון.</t>
  </si>
  <si>
    <t>בפשטות: התשלומים כל חצי שנה, נכון?</t>
  </si>
  <si>
    <t>והתשלום הקרוב הוא ב-1/9, נכון?</t>
  </si>
  <si>
    <t xml:space="preserve">זה בעצם אומר שהחישוב של NPV מוביל חצי שנה אחורה ביחס ל-1/9, כלומר 6 חודשים לפני 1/9, </t>
  </si>
  <si>
    <t>כלומר הסכום 113.92 ש״ח הוא שווי האג״ח ל-1/3/2022, וזה לא כל כך מתאים.</t>
  </si>
  <si>
    <t>המשמעות היא שצריך ״לתקנן״ את התוצאה 3 חודשים קדימה, מ-1/3/2022 ל-1/6/2022.</t>
  </si>
  <si>
    <t>איך עושים את זה? נכפול אותה ב-1 ועוד הריבית להיוון, שמתאימה ל-3 חודשים, כך:</t>
  </si>
  <si>
    <t xml:space="preserve">113.92 * (1 + 6.09%)^(3/12) = </t>
  </si>
  <si>
    <t>הסבר נוסף: החזקה של 3/12 בעצם מבטאת את העובדה שאמנם הזנו ריבית שנתית להיוון,</t>
  </si>
  <si>
    <t xml:space="preserve">אבל צריך ״לתקן״ קדימה רק 3 חודשים, שהם 3/12 או אם תרצו, 1/4 שנה (גם חזקת 1/4 תופס). </t>
  </si>
  <si>
    <t>שאלה 6 - אג״ח בתשלומים</t>
  </si>
  <si>
    <t xml:space="preserve">של 6.09%. </t>
  </si>
  <si>
    <t>מהו מחיר האג״ח ביום ההנפקה?</t>
  </si>
  <si>
    <t xml:space="preserve">חברת ניב הנפיקה ב-1.1.2022 אג״ח שערכה הנקוב 100 ש״ח. האג״ח תפדה ב-5 תשלומים שנתיים שווים. היא נושאת  </t>
  </si>
  <si>
    <t>ריבית שנתית נקובה בשיעור 10% המשולמת פעמיים בשנה. ביום ההנפקה, אגרות חוב דומות הונפקו בתשואה שנתית</t>
  </si>
  <si>
    <t>הנפקה</t>
  </si>
  <si>
    <t>שיעור תשואה שנתי</t>
  </si>
  <si>
    <t>שיעור תשואה חצי שנתי</t>
  </si>
  <si>
    <t>מהו מחיר האג״ח 3 חודשים אחרי ההנפקה?</t>
  </si>
  <si>
    <t>במצב כזה אין שינוי במספר התשלומים כי טרם בוצע תשלום כלשהו; אבל הואיל וההיוון תמיד מוביל ״אחת אחורה״</t>
  </si>
  <si>
    <t>ביחס לתשלום הקרוב, והתשלומים הם כל חצי שנה, הערך לעיל הוא ל-1/1/2022, וכדי לתרגמו ל-1/4/2022, שלושה</t>
  </si>
  <si>
    <t>חודשים לאחר מכן, יש לבצע התאמת תקופה רלוונטית:</t>
  </si>
  <si>
    <t xml:space="preserve">110.64 * (1 + 6.09%)^(3/12) = </t>
  </si>
  <si>
    <t>מהו מחיר האג״ח מיד לאחר הקופון ה-2?</t>
  </si>
  <si>
    <t>אתם כאן</t>
  </si>
  <si>
    <t>חשוב לשים לב שבמצב הזה, טבלת התזרימים עצמה משתנה, כי התזרים של 30/6 כבר בוצע. חישוב שווי אג״ח תמיד</t>
  </si>
  <si>
    <t xml:space="preserve">יביא בחשבון רק את התזרימים העתידיים שנותרו, ולכן יש להוון רק את התזרימים מה-31/12/022 ואילך. </t>
  </si>
  <si>
    <t>מימון מתקדם לחשבונאים - הרצאה 2 - המשך אג״ח, תרגול, תשואות והתאמות</t>
  </si>
  <si>
    <r>
      <t xml:space="preserve">תזרימית ו - </t>
    </r>
    <r>
      <rPr>
        <b/>
        <sz val="12"/>
        <color theme="1"/>
        <rFont val="David"/>
      </rPr>
      <t>NPV</t>
    </r>
    <r>
      <rPr>
        <sz val="12"/>
        <color theme="1"/>
        <rFont val="David"/>
      </rPr>
      <t>. הנטייה הטבעית היא להשתמש ב - PV כשישנם קופונים (תזרימים) רבים פשוט משום שזה קצר</t>
    </r>
  </si>
  <si>
    <r>
      <rPr>
        <u/>
        <sz val="12"/>
        <color theme="1"/>
        <rFont val="David"/>
      </rPr>
      <t xml:space="preserve">אג״ח שערכה הנקוב נפרע בתשלום אחד </t>
    </r>
    <r>
      <rPr>
        <b/>
        <u/>
        <sz val="12"/>
        <color theme="1"/>
        <rFont val="David"/>
      </rPr>
      <t>בתום התקופה</t>
    </r>
    <r>
      <rPr>
        <sz val="12"/>
        <color theme="1"/>
        <rFont val="David"/>
      </rPr>
      <t xml:space="preserve"> - ניתן לבצע חישוביה הן באמצעות </t>
    </r>
    <r>
      <rPr>
        <b/>
        <sz val="12"/>
        <color theme="1"/>
        <rFont val="David"/>
      </rPr>
      <t>PV</t>
    </r>
    <r>
      <rPr>
        <sz val="12"/>
        <color theme="1"/>
        <rFont val="David"/>
      </rPr>
      <t xml:space="preserve"> הן באמצעות טבלה</t>
    </r>
  </si>
  <si>
    <r>
      <rPr>
        <u/>
        <sz val="12"/>
        <color theme="1"/>
        <rFont val="David"/>
      </rPr>
      <t>אג״ח שערכה הנקוב נפרע בחלקים (לשיעורין)</t>
    </r>
    <r>
      <rPr>
        <sz val="12"/>
        <color theme="1"/>
        <rFont val="David"/>
      </rPr>
      <t xml:space="preserve"> - כדי להמנע מטעויות בונים מעין ״</t>
    </r>
    <r>
      <rPr>
        <u/>
        <sz val="12"/>
        <color theme="1"/>
        <rFont val="David"/>
      </rPr>
      <t>לוח סילוקין</t>
    </r>
    <r>
      <rPr>
        <sz val="12"/>
        <color theme="1"/>
        <rFont val="David"/>
      </rPr>
      <t>״ שלם שמתחשב</t>
    </r>
  </si>
  <si>
    <r>
      <t xml:space="preserve">בפירעון הקרן ובהשפעתו על תשלומי הקופון בתקופות עוקבות. משתמשים ב - </t>
    </r>
    <r>
      <rPr>
        <b/>
        <sz val="12"/>
        <color theme="1"/>
        <rFont val="David"/>
      </rPr>
      <t>NPV</t>
    </r>
    <r>
      <rPr>
        <sz val="12"/>
        <color theme="1"/>
        <rFont val="David"/>
      </rPr>
      <t xml:space="preserve"> כדי לתמחר על בסיס התזרימים</t>
    </r>
  </si>
  <si>
    <r>
      <t>חברת ״</t>
    </r>
    <r>
      <rPr>
        <b/>
        <sz val="12"/>
        <color theme="1"/>
        <rFont val="David"/>
      </rPr>
      <t>קטלינה</t>
    </r>
    <r>
      <rPr>
        <sz val="12"/>
        <color theme="1"/>
        <rFont val="David"/>
      </rPr>
      <t>״ הנפיקה ב-1.1.2021 אג״ח שערכה הנקוב 100 ש״ח. אגרת החוב תפדה ב-5 תשלומים</t>
    </r>
  </si>
  <si>
    <t>תזכורות:</t>
  </si>
  <si>
    <t>א. יתרת הערך הנקוב = יתרת ערך נקוב לתקופה קודמת,</t>
  </si>
  <si>
    <t>בניכוי תשלום ע״נ התקופה.</t>
  </si>
  <si>
    <t xml:space="preserve">ערך נקוב לתקופה קודמת. </t>
  </si>
  <si>
    <t>ב. קופון = שיעור הריבית הנקובה היחסית לתקופת תשלום כפול</t>
  </si>
  <si>
    <t>ריבית נקובה: 8%, משלמת כל חצי שנה - לכן, 4% = 2 / 8%</t>
  </si>
  <si>
    <t xml:space="preserve">כעת, כאשר סך התשלום / סך התזרים ידוע (העמודה הצהובה) ניתן לחשב את שווי האג״ח על בסיסה. </t>
  </si>
  <si>
    <r>
      <t xml:space="preserve">היוון תזרימים שאינם זהים (וכאן - סך התשלום משתנה מתקופה לתקופה) מבצעים באמצעות פונקציית </t>
    </r>
    <r>
      <rPr>
        <b/>
        <sz val="12"/>
        <color theme="1"/>
        <rFont val="David"/>
      </rPr>
      <t>NPV</t>
    </r>
    <r>
      <rPr>
        <sz val="12"/>
        <color theme="1"/>
        <rFont val="David"/>
      </rPr>
      <t xml:space="preserve">. </t>
    </r>
  </si>
  <si>
    <t>כדי לחשב NPV, צריך את:</t>
  </si>
  <si>
    <t xml:space="preserve">א. ה״טור״ של התזרימים (יש לי - בצהוב). </t>
  </si>
  <si>
    <t>ב. הריבית להיוון (rate) = שיעור תשואה לפדיון = 6.09% לשנה, אך התשלומים כל חצי שנה, לכן נתאם שיעור תשואה זה.</t>
  </si>
  <si>
    <t>המרת שיעור תשואה לפדיון משנה לחצי שנה, מבצעים באמצעות חזקה:</t>
  </si>
  <si>
    <t xml:space="preserve">PB = </t>
  </si>
  <si>
    <t>שווי האג״ח בהנפקה 1.1.2021</t>
  </si>
  <si>
    <t>את/ה נמצא/ת כאן</t>
  </si>
  <si>
    <t>תזרימים היסטוריים שכבר בוצעו לא רלוונטיים</t>
  </si>
  <si>
    <t>בשום אופן וצורה לתמחור אג״ח.</t>
  </si>
  <si>
    <t>חישוב NPV לוקח אותנו תמיד לתקופת תשלום אחת לפני</t>
  </si>
  <si>
    <t>התשלום הראשון בסדרה המהוונת.</t>
  </si>
  <si>
    <t xml:space="preserve">התשלום הקרוב ביותר: 31/12/2021. </t>
  </si>
  <si>
    <t>לכן קופצים חצי שנה אחורה ל-30/6/2021.</t>
  </si>
  <si>
    <t xml:space="preserve">NPV (30/6/2021) = </t>
  </si>
  <si>
    <t>NPV (30/9/2021) = NPV (30/6/2021) * (1 + 6.09%)^(3/12)</t>
  </si>
  <si>
    <t xml:space="preserve">NPV (30/9/2021) = 104.48 * (1 + 6.09%)^(3/12) = </t>
  </si>
  <si>
    <t>שווי האג״ח ל-30/9/2021</t>
  </si>
  <si>
    <t>אני כאן</t>
  </si>
  <si>
    <t>תשובה סופית - שווי האג״ח:</t>
  </si>
  <si>
    <t xml:space="preserve">בשונה מסעיף ב, הפעם, הקפיצה של ״חצי שנה אחורה״ ממועד התשלום הקרוב (מה-31/12/2022) </t>
  </si>
  <si>
    <r>
      <t xml:space="preserve">הובילה אותנו </t>
    </r>
    <r>
      <rPr>
        <b/>
        <sz val="12"/>
        <color theme="1"/>
        <rFont val="David"/>
      </rPr>
      <t>בדיוק</t>
    </r>
    <r>
      <rPr>
        <sz val="12"/>
        <color theme="1"/>
        <rFont val="David"/>
      </rPr>
      <t xml:space="preserve"> לנקודת חישוב השווי שנדרשה בשאלה (30/6/2022).</t>
    </r>
  </si>
  <si>
    <t>לכן, בשונה מסעיף ב, אין צורך בהתאמה.</t>
  </si>
  <si>
    <r>
      <t xml:space="preserve">ד. חשבו את שווי האג״ח </t>
    </r>
    <r>
      <rPr>
        <b/>
        <u/>
        <sz val="12"/>
        <rFont val="David"/>
      </rPr>
      <t xml:space="preserve">רגע </t>
    </r>
    <r>
      <rPr>
        <b/>
        <u/>
        <sz val="12"/>
        <color rgb="FFFF0000"/>
        <rFont val="David"/>
      </rPr>
      <t>לפני</t>
    </r>
    <r>
      <rPr>
        <b/>
        <u/>
        <sz val="12"/>
        <rFont val="David"/>
      </rPr>
      <t xml:space="preserve"> תשלום הקופון ה-7</t>
    </r>
    <r>
      <rPr>
        <b/>
        <sz val="12"/>
        <rFont val="David"/>
      </rPr>
      <t xml:space="preserve">. </t>
    </r>
  </si>
  <si>
    <r>
      <t xml:space="preserve">זהירות! אם שואלים על שווי רגע </t>
    </r>
    <r>
      <rPr>
        <u/>
        <sz val="12"/>
        <rFont val="David"/>
      </rPr>
      <t>לפני</t>
    </r>
    <r>
      <rPr>
        <sz val="12"/>
        <rFont val="David"/>
      </rPr>
      <t xml:space="preserve"> תשלום מסוים, התזרימים שנהווןן ב - NPV כדי לחשב את השווי יכללו</t>
    </r>
  </si>
  <si>
    <t>גם את התזרים באותה נקודה.</t>
  </si>
  <si>
    <t xml:space="preserve">npv (31/12/2023) = </t>
  </si>
  <si>
    <t xml:space="preserve">npv (30/6/2024) = 41.13 * (1 + 6.09%)^0.5 = </t>
  </si>
  <si>
    <t>שווי ל-30/6/2024 רגע לפני</t>
  </si>
  <si>
    <t>תשלום הקופון במועד זה:</t>
  </si>
  <si>
    <t>כי קופצים ״אחת אחורה״ (חצי שנה אחורה) ביחס למועד התשלום הקרוב</t>
  </si>
  <si>
    <t>שוב נדגיש:</t>
  </si>
  <si>
    <t>דרך ראשונה - טבלה ו - IRR:</t>
  </si>
  <si>
    <t>שנתיים שווים. הריבית הנקובה (השנתית) היא בשיעור 4% והיא משולמת פעמיים בשנה. שיעור התשואה לפדיון</t>
  </si>
  <si>
    <t>הוא 2.01% לשנה.</t>
  </si>
  <si>
    <t>ב. חשבו את מחיר האג״ח ב-1/11/2023.</t>
  </si>
  <si>
    <t xml:space="preserve">ג. חשבו את מחיר האג״ח מיד לאחר תשלום הקופון ה-2. </t>
  </si>
  <si>
    <t xml:space="preserve">ד. חשבו את מחיר האג״ח מיד לפני תשלום הקופון ה-5. </t>
  </si>
  <si>
    <t xml:space="preserve">עמודת ערך נקוב - לפי סך הערך הנקוב חלקי מספר הפדיונות (4). </t>
  </si>
  <si>
    <t>יתרת ערך נקוב - לפי יתרת ערך נקוב תקופה קודמת בניכוי</t>
  </si>
  <si>
    <t>תשלום ערך נקוב התקופה.</t>
  </si>
  <si>
    <t>קופון: ריבית נקובה יחסית כפול יתרת ערך נקוב תקופה קודמת</t>
  </si>
  <si>
    <t>סך התשלום = קופון + ערך נקוב</t>
  </si>
  <si>
    <t>לוח תזרימים:</t>
  </si>
  <si>
    <t>א. מחיר האג״ח בהנפקה:</t>
  </si>
  <si>
    <t xml:space="preserve">rate (hazi shana)= </t>
  </si>
  <si>
    <t xml:space="preserve">npv(30/6/2023) = </t>
  </si>
  <si>
    <t xml:space="preserve">npv(1/11/2023) = </t>
  </si>
  <si>
    <t>103.88 * (1 + 2.01%)^(4/12) =</t>
  </si>
  <si>
    <t>אנחנו כאן</t>
  </si>
  <si>
    <t xml:space="preserve">npv(31/12/2023) = </t>
  </si>
  <si>
    <t>אנחנו כאן, רגע לפני התשלום</t>
  </si>
  <si>
    <t xml:space="preserve">npv(31/12/2024) = </t>
  </si>
  <si>
    <t xml:space="preserve">npv(30/6/2024) = 51.47 * (1 + 2.01%)^0.5 = </t>
  </si>
  <si>
    <t>סיכום ביניים - תדריך לגבי חישובי שווי בלוחות סילוקין ״מורכבים״:</t>
  </si>
  <si>
    <t>המרצה מס׳ 1</t>
  </si>
  <si>
    <t>מימון מתקדם לחשבונאים - הרצאה 3 - המשך אג״ח, תרגול, תשואות והתאמות</t>
  </si>
  <si>
    <t xml:space="preserve">א. חילוץ שיעור תשואה לפדיון. </t>
  </si>
  <si>
    <t>ב. המושג והחילוץ - שיעור תשואת החזקה.</t>
  </si>
  <si>
    <t>שאלה 3 - חילוץ תשואה לפדיון - אג״ח לשיעורין</t>
  </si>
  <si>
    <t>שאלה 7 - תשואה לתקופת החזקה</t>
  </si>
  <si>
    <t>שאלה 1 - חישוב שווי אג״ח - פירעון לשיעורין: כולל התאמות ריבית והתאמות תקופה</t>
  </si>
  <si>
    <t>שאלה 2 - חישוב שווי אג״ח - פירעון לשיעורין: כולל התאמות ריבית והתאמות תקופה</t>
  </si>
  <si>
    <t>עד כאן החומרים מהמפגש. מכאן ואילך - שיעורי בית לתרגול נוסף.</t>
  </si>
  <si>
    <r>
      <t xml:space="preserve">לבקשתכם - אני מציג תחילה רק את התרגילים </t>
    </r>
    <r>
      <rPr>
        <b/>
        <sz val="12"/>
        <rFont val="David"/>
      </rPr>
      <t>ללא פתרון</t>
    </r>
    <r>
      <rPr>
        <sz val="12"/>
        <rFont val="David"/>
      </rPr>
      <t>, ומתחתיהם יופיעו הפתרונות. מקווה שזה אכן עוזר :)</t>
    </r>
  </si>
  <si>
    <t>שיעורי בית לאחר מפגש 2 - ללא פתרון - הפתרונות בהמשך...</t>
  </si>
  <si>
    <t>שאלה 1  -  פדיון לשיעורין וחישוב שווי בסיסי קליל</t>
  </si>
  <si>
    <t>פתרון שיעורי בית, שאלה 1  -  פדיון לשיעורין וחישוב שווי בסיסי קליל</t>
  </si>
  <si>
    <r>
      <t>חברת ״</t>
    </r>
    <r>
      <rPr>
        <b/>
        <sz val="12"/>
        <color theme="1"/>
        <rFont val="David"/>
      </rPr>
      <t>סונומה</t>
    </r>
    <r>
      <rPr>
        <sz val="12"/>
        <color theme="1"/>
        <rFont val="David"/>
      </rPr>
      <t>״ הנפיקה ב-1.1.2022 אג״ח שערכה הנקוב 150 ש״ח. אגרת החוב תפדה ב-3 תשלומים</t>
    </r>
  </si>
  <si>
    <t>שנתיים שווים. הריבית הנקובה (השנתית) היא בשיעור 8% והיא משולמת ארבע פעמים בשנה. שיעור התשואה לפדיון</t>
  </si>
  <si>
    <t xml:space="preserve">הוא 10.3812891%. </t>
  </si>
  <si>
    <t>ד. חשבו את מחיר האג״ח רגע לפני תשלום הקופון ה-7.</t>
  </si>
  <si>
    <t>ב. חשבו את מחיר האג״ח בחלוף 7 חודשים מיום ההנפקה.</t>
  </si>
  <si>
    <t xml:space="preserve">ג. חשבו את מחיר האג״ח מיד לאחר תשלום הקופון ה-6. </t>
  </si>
  <si>
    <t>ד. חשבו את מחיר האג״ח רגע לפני תשלום הקופון ה-3.</t>
  </si>
  <si>
    <t xml:space="preserve">פתרון שיעורי בית, שאלה 2 - חישוב שווי אג״ח - פירעון לשיעורין: כולל התאמות </t>
  </si>
  <si>
    <t>תחילה, לוח תזרימים:</t>
  </si>
  <si>
    <t>ריבית מתואמת משנה לרבעון:</t>
  </si>
  <si>
    <t>שווי:</t>
  </si>
  <si>
    <t>אתה נמצא כאן</t>
  </si>
  <si>
    <t>אבל! השווי הזה איננו סופי. שימו לב שהתשלומים כל רבעון, וכזכור, תמיד קופצים ״אחת אחורה״ ביחס לתשלום</t>
  </si>
  <si>
    <t>הקרוב. התשלום העתידי הקרוב ב-30/9/2022, ולכן כשקופצים ״אחת אחורה״ מגיעים ל-30/6/2022 שזה</t>
  </si>
  <si>
    <t>חודש אחד מוקדם מדי מהתאריך שאותו ״רוצים״. לכן צריך כעת לדחוף את התוצאה המתקבלת חודש אחד קדימה.</t>
  </si>
  <si>
    <t>כך (קליק על התא לראות את החישוב)</t>
  </si>
  <si>
    <t>וזו התשובה:</t>
  </si>
  <si>
    <t xml:space="preserve">הפעם לא צריך התאמה והשווי סופי! מדוע? משום שהתשלום הקרוב הוא ב-30/9/2023, קופצים תקופת </t>
  </si>
  <si>
    <t>תשלום אחת אחורה כלומר רבעון אחורה, ומקבלים שווי ל-30/6/2023, שזה בדיוק התאריך הנדרש (שהרי</t>
  </si>
  <si>
    <t xml:space="preserve">ה-30/6/2023 הוא התאריך של התשלום ה-6). </t>
  </si>
  <si>
    <t xml:space="preserve">אבל השווי הזה לא סופי! מדוע? משום שאנחנו ב-30/9/2022 לפני התשלום באותו מועד, והחישוב של כל התזרימים כולל </t>
  </si>
  <si>
    <t>זה של 30/9 מוביל ״אחת אחורה״ ובמקרה זה רבעון אחד אחורה לפני 30/9/2022 כלומר ל-30/6/2022. זה לא התאריך</t>
  </si>
  <si>
    <t>שאנו רוצים, יש לתקן חזרה ל-30/9/2022, על ידי מכפלה מתאימה:</t>
  </si>
  <si>
    <t>שווי כתשובה סופית:</t>
  </si>
  <si>
    <t>שיעורי בית לאחר מפגש 2 - הפתרונות:</t>
  </si>
  <si>
    <t>גללו הרחק למטה כדי לראות את התשובות לשתי השאלות...</t>
  </si>
  <si>
    <t>אם חלילה נפלה טעות סופר / טעות הקלדה בתרגיל כלשהו,</t>
  </si>
  <si>
    <t>rate &gt; ריבית נקובה</t>
  </si>
  <si>
    <t>ריבית נקובה &gt; rate</t>
  </si>
  <si>
    <t>rate = ריבית נקובה</t>
  </si>
  <si>
    <t>אם נסמן, לשם נוחות את שיעור התשואה לפדיון כ - rate, אזי נוכל לקבוע:</t>
  </si>
  <si>
    <t>ריבית נקובה &lt; rate</t>
  </si>
  <si>
    <t>ריבית נקובה = rate</t>
  </si>
  <si>
    <t>פרמיה</t>
  </si>
  <si>
    <t>נכיון</t>
  </si>
  <si>
    <t>פארי</t>
  </si>
  <si>
    <t>הדגש לגבי הקשר בין rate, ריבית נקובה והפער בין מחיר האג״ח לערכה הנקוב (נכיון / פרמיה / פארי) [הוצג בקצרה</t>
  </si>
  <si>
    <t>בשיעורי הבית בגיליון 1, כעת נחדד ונחבר אתכם]:</t>
  </si>
  <si>
    <r>
      <t xml:space="preserve">אנא פנו אליי ישירות (לא למתרגלת) כדי שאוכל לתקן </t>
    </r>
    <r>
      <rPr>
        <b/>
        <u/>
        <sz val="12"/>
        <color theme="1"/>
        <rFont val="David"/>
      </rPr>
      <t>במיידי</t>
    </r>
  </si>
  <si>
    <t>בפרסום התרגיל המקורי בוצע</t>
  </si>
  <si>
    <t>חישוב לאחר הקופון ה-1 ולא</t>
  </si>
  <si>
    <t>לאחר הקופון ה-2 (עיניים זקנות).</t>
  </si>
  <si>
    <t>זה תוקן כעת.</t>
  </si>
  <si>
    <r>
      <t xml:space="preserve">היום נמשיך כמובן בחישובי אג״ח. </t>
    </r>
    <r>
      <rPr>
        <b/>
        <sz val="12"/>
        <color theme="1"/>
        <rFont val="David"/>
      </rPr>
      <t>תחילה אבקש שתציפו כל קושי בתרגילים הנוספים מהמחברת</t>
    </r>
    <r>
      <rPr>
        <sz val="12"/>
        <color theme="1"/>
        <rFont val="David"/>
      </rPr>
      <t>, ולאחר מכן:</t>
    </r>
  </si>
  <si>
    <t>הואיל ומדובר באג״ח שנפרעות בתשלום אחד (שונה מפירעון ״לשיעורין״ או ״בחלקים״) התזרים פשוט: כל תקופה (כל שנה)</t>
  </si>
  <si>
    <t>קופון, ובסוף - קופון בתוספת לערך הנקוב שנפדה.</t>
  </si>
  <si>
    <t>מחיר אג״ח - מסומן בסימן שלילי (השקעה)</t>
  </si>
  <si>
    <t>פירעון</t>
  </si>
  <si>
    <t xml:space="preserve">כשתזרימים מפורטים בטור, </t>
  </si>
  <si>
    <t xml:space="preserve">שימו לב: החברה קבעה </t>
  </si>
  <si>
    <t>את נתוני האג״ח ובכללם</t>
  </si>
  <si>
    <t xml:space="preserve">כל התזרימים העתידיים, </t>
  </si>
  <si>
    <t xml:space="preserve">במחיר האג״ח. </t>
  </si>
  <si>
    <r>
      <t xml:space="preserve">והם </t>
    </r>
    <r>
      <rPr>
        <b/>
        <u/>
        <sz val="12"/>
        <color theme="1"/>
        <rFont val="David"/>
      </rPr>
      <t>אינם משתנים</t>
    </r>
    <r>
      <rPr>
        <sz val="12"/>
        <color theme="1"/>
        <rFont val="David"/>
      </rPr>
      <t xml:space="preserve"> כתלות</t>
    </r>
  </si>
  <si>
    <r>
      <t xml:space="preserve">אפשר לחלץ תשואה עם </t>
    </r>
    <r>
      <rPr>
        <b/>
        <sz val="12"/>
        <color theme="1"/>
        <rFont val="David"/>
      </rPr>
      <t>IRR</t>
    </r>
  </si>
  <si>
    <t>שיעור התשואה לפדיון</t>
  </si>
  <si>
    <t>מספר תשלומי הקופון</t>
  </si>
  <si>
    <t>מחיר האגח - מוזן בסימן שלילי</t>
  </si>
  <si>
    <t>קופון - ריבית נקובה כפול ערך נקוב</t>
  </si>
  <si>
    <t>פירעון: ערך נקוב + קופון שנתי</t>
  </si>
  <si>
    <t>מחיר pv</t>
  </si>
  <si>
    <t>הריבית הנקובה זהה לשיעור התשואה לפדיון, מחיר האג״ח זהה לערכה הנקוב.</t>
  </si>
  <si>
    <t>הריבית הנקובה נמוכה משיעור התשואה לפדיון, מחיר האג״ח נמוך מהערך הנקוב.</t>
  </si>
  <si>
    <t>הריבית הנקובה גבוהה משיעור התשואה לפדיון, מחיר האג״ח גבוה מהערך הנקוב.</t>
  </si>
  <si>
    <t>פדיון</t>
  </si>
  <si>
    <t>מחיר האג״ח, בסימן שלילי</t>
  </si>
  <si>
    <t>קופון וערך נקוב</t>
  </si>
  <si>
    <t>שיעור תשואה לפדיון לפי IRR</t>
  </si>
  <si>
    <t>קופון - רבעוני</t>
  </si>
  <si>
    <t xml:space="preserve">3%/4 * 100 = </t>
  </si>
  <si>
    <r>
      <t xml:space="preserve">משלמת ריבית שנתית נקובה בשיעור 3% בתדירות של 4 פעמים בשנה. </t>
    </r>
    <r>
      <rPr>
        <b/>
        <sz val="12"/>
        <color theme="1"/>
        <rFont val="David"/>
      </rPr>
      <t xml:space="preserve">חשבו את שיעור התשואה </t>
    </r>
    <r>
      <rPr>
        <b/>
        <u/>
        <sz val="12"/>
        <color theme="1"/>
        <rFont val="David"/>
      </rPr>
      <t>השנתי</t>
    </r>
    <r>
      <rPr>
        <b/>
        <sz val="12"/>
        <color theme="1"/>
        <rFont val="David"/>
      </rPr>
      <t xml:space="preserve"> לפדיון</t>
    </r>
  </si>
  <si>
    <t>שימו לב! התשלומים רבעוניים... לכן גם שיעור התשואה לפדיון שחילצנו הוא רבעוני.</t>
  </si>
  <si>
    <t>הואיל ונדרש שיעור תשואה שנתי, יש להמיר ערכים אלו מרבעון לשנה.</t>
  </si>
  <si>
    <t>התאמת שיעור תשואה לפדיון מרבעון לשנה מבצעים עם חזקה מתאימה (4):</t>
  </si>
  <si>
    <t>המקרה:</t>
  </si>
  <si>
    <r>
      <t xml:space="preserve">שיעור תשואה </t>
    </r>
    <r>
      <rPr>
        <b/>
        <sz val="12"/>
        <rFont val="David"/>
      </rPr>
      <t>שנתי</t>
    </r>
    <r>
      <rPr>
        <sz val="12"/>
        <rFont val="David"/>
      </rPr>
      <t xml:space="preserve"> לפדיון</t>
    </r>
  </si>
  <si>
    <t>פותרים ביחד</t>
  </si>
  <si>
    <t>תשואה לפדיון לאחר הנפקה</t>
  </si>
  <si>
    <r>
      <rPr>
        <b/>
        <u/>
        <sz val="12"/>
        <rFont val="David"/>
      </rPr>
      <t>פתרון חלופי</t>
    </r>
    <r>
      <rPr>
        <b/>
        <sz val="12"/>
        <rFont val="David"/>
      </rPr>
      <t xml:space="preserve"> - הואיל ומספר התשלומים רב, ומדובר בתשלומים קבועים, ניתן לחלץ באמצעות rate בצורה קצרה יותר:</t>
    </r>
  </si>
  <si>
    <t>תחילה נשאל את עצמנו - האם מדובר באג״ח פשוטה (עם ערך נקוב הנפרע בתשלום אחד בתום התקופה), או באג״ח הנפרעת</t>
  </si>
  <si>
    <t xml:space="preserve">לשיעורין? השאלה חשובה, משום שאם זו אג״ח פשוטה, אפשר לחשב בדיוק כמו בשאלות הקודמות. אבל אם זו אג״ח </t>
  </si>
  <si>
    <t xml:space="preserve">הנפרעת בתשלומים, חובה עלינו לבצע ״לוח סילוקין״ מלא, ואת החישוב ניתן לבצע רק באמצעות IRR (ולא באמצעות rate). </t>
  </si>
  <si>
    <r>
      <t xml:space="preserve">ואכן - גילינו שכאן מדובר באג״ח </t>
    </r>
    <r>
      <rPr>
        <b/>
        <sz val="12"/>
        <color theme="1"/>
        <rFont val="David"/>
      </rPr>
      <t>הנפרעת לשיעורין</t>
    </r>
    <r>
      <rPr>
        <sz val="12"/>
        <color theme="1"/>
        <rFont val="David"/>
      </rPr>
      <t>. בהתאם, נבנה את לוח הסילוקין שעל בסיסו נחלץ את שיעור התשואה לפדיון:</t>
    </r>
  </si>
  <si>
    <t>לפי ערך נקוב</t>
  </si>
  <si>
    <t xml:space="preserve">חלקי מס׳ </t>
  </si>
  <si>
    <t>תשלומי קרן</t>
  </si>
  <si>
    <t>שלב 2</t>
  </si>
  <si>
    <t>לפי יתרת ע״נ</t>
  </si>
  <si>
    <t>תקופה קודמת</t>
  </si>
  <si>
    <t>בניכוי תשלום ע״נ</t>
  </si>
  <si>
    <t>כפול ריבית נקובה</t>
  </si>
  <si>
    <t>חיבור</t>
  </si>
  <si>
    <t>ותשלום ע״נ</t>
  </si>
  <si>
    <t>מחיר בהנפקה - נתון</t>
  </si>
  <si>
    <r>
      <t xml:space="preserve">שנתיים שווים, והיא נושאת ריבית שנתית נקובה בשיעור 6% המשולמת כל חצי שנה. </t>
    </r>
    <r>
      <rPr>
        <b/>
        <sz val="12"/>
        <color theme="1"/>
        <rFont val="David"/>
      </rPr>
      <t>מהו שיעור התשואה</t>
    </r>
  </si>
  <si>
    <r>
      <t xml:space="preserve">התוצאה המתקבלת היא שיעור התשואה לפדיון </t>
    </r>
    <r>
      <rPr>
        <u/>
        <sz val="12"/>
        <color theme="1"/>
        <rFont val="David"/>
      </rPr>
      <t>במונחי תקופת תשלום</t>
    </r>
    <r>
      <rPr>
        <sz val="12"/>
        <color theme="1"/>
        <rFont val="David"/>
      </rPr>
      <t xml:space="preserve"> - חצי שנה. </t>
    </r>
  </si>
  <si>
    <r>
      <t xml:space="preserve">המשולמת 4 פעמים בשנה. </t>
    </r>
    <r>
      <rPr>
        <b/>
        <sz val="12"/>
        <color theme="1"/>
        <rFont val="David"/>
      </rPr>
      <t>בתאריך 1.4.2021 נסחרה אגרת החוב בשער של 104 ש״ח.</t>
    </r>
    <r>
      <rPr>
        <sz val="12"/>
        <color theme="1"/>
        <rFont val="David"/>
      </rPr>
      <t xml:space="preserve"> </t>
    </r>
  </si>
  <si>
    <t>סעיף א - שיעור תשואה לפדיון</t>
  </si>
  <si>
    <r>
      <t xml:space="preserve">א. מהו שיעור התשואה </t>
    </r>
    <r>
      <rPr>
        <u/>
        <sz val="12"/>
        <color theme="1"/>
        <rFont val="David"/>
      </rPr>
      <t>לפדיון</t>
    </r>
    <r>
      <rPr>
        <sz val="12"/>
        <color theme="1"/>
        <rFont val="David"/>
      </rPr>
      <t xml:space="preserve"> בהנחה שהאג״ח נרכשה במועד ההנפקה והוחזקה עד לפדיון?</t>
    </r>
  </si>
  <si>
    <r>
      <t xml:space="preserve">ב. מהו </t>
    </r>
    <r>
      <rPr>
        <u/>
        <sz val="12"/>
        <color theme="1"/>
        <rFont val="David"/>
      </rPr>
      <t>שיעור התשואה השנתי להחזקה</t>
    </r>
    <r>
      <rPr>
        <sz val="12"/>
        <color theme="1"/>
        <rFont val="David"/>
      </rPr>
      <t xml:space="preserve"> (HPR) אם האג״ח נמכרה ב-1.1.2023 תמורת 760 ש״ח?</t>
    </r>
  </si>
  <si>
    <r>
      <t xml:space="preserve">א. בכמה מכר המשקיע את האג״ח? </t>
    </r>
    <r>
      <rPr>
        <sz val="9"/>
        <color theme="1"/>
        <rFont val="David"/>
      </rPr>
      <t>(טיפ: המשמעות היא מחיר האג״ח לאחר 4 תשלומים, מומלץ לחשב עם pv, ה - nper יהיה מס׳ התשלומים שנותרו)</t>
    </r>
  </si>
  <si>
    <t>שיעור תשואה לפדיון לתקופת תשלום</t>
  </si>
  <si>
    <t>מספר התשלומים שנותרו</t>
  </si>
  <si>
    <t>התשלום הקבוע (קופון)</t>
  </si>
  <si>
    <t>הערך המחושב</t>
  </si>
  <si>
    <t xml:space="preserve">מדובר באג״ח הנפרעת בתשלום אחד. לכן, כדאי לדאוג להתייחס אליה באמצעות פונקציות pv ו- rate ולא </t>
  </si>
  <si>
    <t xml:space="preserve">באמצעות בניית ״לוח סילוקין״ וחישובי npv ו- irr (פשוט כי rate קצרה יותר ליישום מאשר טבלה ארוכה). </t>
  </si>
  <si>
    <t>ברגע ששואלים על תשואה לתקופת החזקה, אנחנו נרצה לדעת:</t>
  </si>
  <si>
    <t xml:space="preserve">א. בכמה המשקיע רכש את האג״ח. </t>
  </si>
  <si>
    <t xml:space="preserve">ב. כמה תקבולים זכה לקבל עד וכולל המכירה. </t>
  </si>
  <si>
    <t xml:space="preserve">היחס בין הערכים (פחות 1) יעניק לנו את שיעור התשואה לכל תקופת ההחזקה. </t>
  </si>
  <si>
    <t xml:space="preserve">כמובן, במידת הצורך נוכל לתאם את התוצאה לשנה. </t>
  </si>
  <si>
    <t>תמצית נתונים: אגרת חוב שערכה הנקוב 800, שמשלמת ריבית נקובה 7% פעמיים בשנה, עיתוי הרכישה</t>
  </si>
  <si>
    <t xml:space="preserve">היה 1.1.2021 בתמורה ל-811 ש״ח, </t>
  </si>
  <si>
    <t xml:space="preserve">בהתאם לפתרון הסעיף הקודם אנו יודעים שהמכירה בוצעה ב-1.1.2023 בתמורה ל-828.08. </t>
  </si>
  <si>
    <t>סך תקבולים</t>
  </si>
  <si>
    <t>פתרון נוסף של סעיף א - חלופי באמצעות טבלה:</t>
  </si>
  <si>
    <r>
      <t xml:space="preserve">   ביקשו תמחור </t>
    </r>
    <r>
      <rPr>
        <b/>
        <u/>
        <sz val="12"/>
        <color theme="1"/>
        <rFont val="David"/>
      </rPr>
      <t>אחרי</t>
    </r>
    <r>
      <rPr>
        <sz val="12"/>
        <color theme="1"/>
        <rFont val="David"/>
      </rPr>
      <t xml:space="preserve"> 4 תשלומים; </t>
    </r>
  </si>
  <si>
    <t xml:space="preserve">תמחור תמיד מתייחס לתשלומים עתידיים בלבד. </t>
  </si>
  <si>
    <t>לכן, ה-4 הראשונים לא יובאו בחשבון בתמחיר.</t>
  </si>
  <si>
    <t>חישוב שווי - NPV:</t>
  </si>
  <si>
    <t>תשואה לפדיון - חצי שנתית:</t>
  </si>
  <si>
    <t>שאלה 1 - תשואה לתקופת החזקה</t>
  </si>
  <si>
    <t>פתרון שאלה 1 - תשואה לתקופת החזקה</t>
  </si>
  <si>
    <t>שיעורי בית (עודכן והורחב ב- 8.12.2023) - הפתרון בהמשך (לאחר כל השאלות יופיעו כל הפתרונות)</t>
  </si>
  <si>
    <t>שאלה 2 - חילוץ שיעור תשואה לפדיון</t>
  </si>
  <si>
    <t>חברת ״אופיר אברג׳יל״ הנפיקה ב-1.1.2017 אג״ח שערכה הנקוב 500 ש״ח. האג״ח תפדה בתשלום אחד</t>
  </si>
  <si>
    <t xml:space="preserve">בתאריך 31.12.2024, והיא משלמת קופון שנתי בשיעור 7% לשנה. </t>
  </si>
  <si>
    <t>א. האג״ח הונפקה בתמורה ל-500 ש״ח.</t>
  </si>
  <si>
    <t>ב. האג״ח הונפקה בתמורה ל-400 ש״ח.</t>
  </si>
  <si>
    <t>ג. האג״ח הונפקה בתמורה ל-550 ש״ח.</t>
  </si>
  <si>
    <t>פתרון שאלה 2 - חילוץ שיעור תשואה לפדיון</t>
  </si>
  <si>
    <t>אפשר לשים לב לכך שהתזרימים זהים, למעט המחיר בזמן 0 (שמוזן בסימן שלילי) ושונה ממקרה למקרה.</t>
  </si>
  <si>
    <t>פתרון בגישת הטבלה ו - IRR</t>
  </si>
  <si>
    <t>פתרון בגישת RATE</t>
  </si>
  <si>
    <t>מקרה א</t>
  </si>
  <si>
    <t>מקרה ב</t>
  </si>
  <si>
    <t>מקרה ג</t>
  </si>
  <si>
    <t>הערה:</t>
  </si>
  <si>
    <t>ניתן גם לזהות בנוסף שאג״ח א היא בפארי (בשווי זהה לערך הנקוב) ולכן אין אנו מתפלאים שיש זהות בין הריבית</t>
  </si>
  <si>
    <t>הנקובה לבין שיעור התשואה לפדיון, ואילו אג״ח ב היא בנכיון (בשווי נמוך מהערך הנקוב) ולכן אין אנו מתפלאים</t>
  </si>
  <si>
    <t>שהמצב הוא שהריבית הנקובה נמוכה משיעור התשואה לפדיון, ולבסוף, אג״ח ג היא בפרמיה (בשווי גבוה מהערך</t>
  </si>
  <si>
    <t>הנקוב) מה שמתאים למצב שבו הריבית הנקובה גבוהה משיעור התשואה לפדיון.</t>
  </si>
  <si>
    <t>נושאת ריבית שנתית נקובה בשיעור 8% המשולמת כל רבעון. מהו שיעור התשואה השנתי לפדיון במועד ההנפקה?</t>
  </si>
  <si>
    <t>שיעור תשואה לפדיון במונחים רבעוניים</t>
  </si>
  <si>
    <t>שיעור תשואה לפדיון במונחים שנתיים - תשובה סופית</t>
  </si>
  <si>
    <t>פתרון שאלה 3 - חילוץ תשואה לפדיון - אג״ח לשיעורין</t>
  </si>
  <si>
    <t>זוהי אג״ח לשיעורין, לכן אין דרך לפתור באמצעות Rate אלא רק בהתבסס על טבלת תזרימים מלאה. כמו כן, יש לשים</t>
  </si>
  <si>
    <t>לב שהתשלומים רבעוניים, לכן יש לתקנן את ריבית הקופון לרבעונית ע״י חלוקה ב-4 ואת התוצאה של IRR להמיר מרבעון</t>
  </si>
  <si>
    <t>שאלה 4 - חילוץ שיעור תשואה לפדיון - אג״ח לשיעורין</t>
  </si>
  <si>
    <t>המשולמת כל חצי שנה. מהו שיעור התשואה לפדיון בהנפקה.</t>
  </si>
  <si>
    <t>תשלומים שנתיים שווים בתום כל אחת מ-4 השנים האחרונות של האג״ח. הריבית באג״ח היא ריבית נקובה שנתית בשיעור 6%</t>
  </si>
  <si>
    <t>לשנה באמצעות חזקת 4. הכל מופיע בתוך הנוסחאות בתאים השונים, להלן (ושימו לב, ערך נקוב 100 ברירת מחדל):</t>
  </si>
  <si>
    <t>שיעור תשואה לפדיון במונחים חצי שנתיים</t>
  </si>
  <si>
    <t>פתרון שאלה 4 - חילוץ שיעור תשואה לפדיון - אג״ח לשיעורין</t>
  </si>
  <si>
    <t>שאלה 5 - חילוץ שיעור תשואה לפדיון לאחר מועד ההנפקה</t>
  </si>
  <si>
    <t>חברת ״יובל״ הנפיקה ב-1.1.2019 אג״ח בתמורה ל-107 ש״ח. האג״ח היא ל-8 שנים ותפדה ב-5 תשלומים שנתיים שווים</t>
  </si>
  <si>
    <t>בתום כל אחת מ-5 השנים האחרונות של האג״ח. הריבית באג״ח היא ריבית נקובה שנתית בשיעור 5% המשולמת כל רבעון.</t>
  </si>
  <si>
    <t>פתרון שאלה 5 - חילוץ שיעור תשואה לפדיון לאחר מועד ההנפקה</t>
  </si>
  <si>
    <t>אנחנו רגע לאחר תשלום זה. התשלומים ההיסטוריים לא רלוונטיים</t>
  </si>
  <si>
    <t>מהו שיעור התשואה לפדיון רגע לאחר התשלום ה-6, אם ידוע שבמועד זה מחיר האג״ח הוא 104 ש״ח?</t>
  </si>
  <si>
    <t>שיעור תשואה לפדיון - רבעוני</t>
  </si>
  <si>
    <t>במונחים שנתיים בחישוב מדויק</t>
  </si>
  <si>
    <t>פתרונות לשיעורי הבית לאחר שיעור 3</t>
  </si>
  <si>
    <r>
      <t>חברת ״איפה את מוריה״ הנפיקה ב-1.1.2021 אג״ח בתמורה ל-87 ש״ח. האג״ח תפדה ב-</t>
    </r>
    <r>
      <rPr>
        <sz val="12"/>
        <color rgb="FFFF0000"/>
        <rFont val="David"/>
      </rPr>
      <t>8</t>
    </r>
    <r>
      <rPr>
        <sz val="12"/>
        <color theme="1"/>
        <rFont val="David"/>
      </rPr>
      <t xml:space="preserve"> תשלומים רבעוניים שווים והיא  </t>
    </r>
  </si>
  <si>
    <t>בהתאם, ולמרות מאמצי הכותב, ייתכנו טעויות</t>
  </si>
  <si>
    <t>ולכתוב לי ישירות מייל אל shay.tsaban@gmail.com</t>
  </si>
  <si>
    <t>או אם אין זמינות למייל אז לנייד, תשובה מהירה</t>
  </si>
  <si>
    <t>חשוב: שיעורי הבית הנוספים נכתבים למענכם ״בזמן אמת״</t>
  </si>
  <si>
    <t>אפשריות כי אני אמנם נראה מושלם אבל אני אנושי.</t>
  </si>
  <si>
    <r>
      <t xml:space="preserve">כדי לתת לכם תרגילים </t>
    </r>
    <r>
      <rPr>
        <b/>
        <sz val="12"/>
        <color theme="1"/>
        <rFont val="David"/>
      </rPr>
      <t>נוספים</t>
    </r>
    <r>
      <rPr>
        <sz val="12"/>
        <color theme="1"/>
        <rFont val="David"/>
      </rPr>
      <t xml:space="preserve"> חופפים ככל הניתן לנלמד.</t>
    </r>
  </si>
  <si>
    <r>
      <rPr>
        <b/>
        <sz val="12"/>
        <color theme="1"/>
        <rFont val="David"/>
      </rPr>
      <t>הקלדה</t>
    </r>
    <r>
      <rPr>
        <sz val="12"/>
        <color theme="1"/>
        <rFont val="David"/>
      </rPr>
      <t xml:space="preserve"> קלות מעת לעת (למשל בשאלה 3 כאן הקלדתי במקור</t>
    </r>
  </si>
  <si>
    <t>דרך הפתרון והלוגיקה תמיד נכונה; אבל טעויות הקלדה</t>
  </si>
  <si>
    <t>שיש 6 תשלומים במקום 8). זה די נדיר, אבל עלול לקרות.</t>
  </si>
  <si>
    <r>
      <t xml:space="preserve">לכן, בכל מקרה של התלבטות, בבקשה </t>
    </r>
    <r>
      <rPr>
        <u/>
        <sz val="12"/>
        <color theme="1"/>
        <rFont val="David"/>
      </rPr>
      <t>לא להסס</t>
    </r>
  </si>
  <si>
    <r>
      <t xml:space="preserve">ותיקון מיידי במידת הצורך - </t>
    </r>
    <r>
      <rPr>
        <b/>
        <sz val="12"/>
        <color theme="1"/>
        <rFont val="David"/>
      </rPr>
      <t>מובטחת</t>
    </r>
    <r>
      <rPr>
        <sz val="12"/>
        <color theme="1"/>
        <rFont val="David"/>
      </rPr>
      <t xml:space="preserve">. </t>
    </r>
  </si>
  <si>
    <t>חברת ״צבאן המילואימניק התותח״ הנפיקה ב-1.1.2018 אג״ח בתמורה ל-87 ש״ח. האג״ח היא ל-10 שנים ותפדה ב-4</t>
  </si>
  <si>
    <r>
      <t>חברת ״איפה את מוריה״ הנפיקה ב-1.1.2021 אג״ח בתמורה ל-</t>
    </r>
    <r>
      <rPr>
        <sz val="12"/>
        <color rgb="FFFF0000"/>
        <rFont val="David"/>
      </rPr>
      <t>87</t>
    </r>
    <r>
      <rPr>
        <sz val="12"/>
        <color theme="1"/>
        <rFont val="David"/>
      </rPr>
      <t xml:space="preserve"> ש״ח. האג״ח תפדה ב-</t>
    </r>
    <r>
      <rPr>
        <sz val="12"/>
        <color rgb="FFFF0000"/>
        <rFont val="David"/>
      </rPr>
      <t>8</t>
    </r>
    <r>
      <rPr>
        <sz val="12"/>
        <color theme="1"/>
        <rFont val="David"/>
      </rPr>
      <t xml:space="preserve"> תשלומים רבעוניים שווים והיא  </t>
    </r>
  </si>
  <si>
    <r>
      <t>חברת ״צבאן המילואימניק התותח״ הנפיקה ב-1.1.2018 אג״ח בתמורה ל-</t>
    </r>
    <r>
      <rPr>
        <sz val="12"/>
        <color rgb="FFFF0000"/>
        <rFont val="David"/>
      </rPr>
      <t>87</t>
    </r>
    <r>
      <rPr>
        <sz val="12"/>
        <color theme="1"/>
        <rFont val="David"/>
      </rPr>
      <t xml:space="preserve"> ש״ח. האג״ח היא ל-10 שנים ותפדה ב-4</t>
    </r>
  </si>
  <si>
    <t xml:space="preserve"> </t>
  </si>
  <si>
    <r>
      <t xml:space="preserve">מהו שיעור התשואה לפדיון רגע לאחר התשלום ה-6, </t>
    </r>
    <r>
      <rPr>
        <sz val="12"/>
        <color rgb="FFFF0000"/>
        <rFont val="David"/>
      </rPr>
      <t>אם ידוע שבמועד זה מחיר האג״ח הוא 104 ש״ח?</t>
    </r>
  </si>
  <si>
    <t>תכנון תכנים (כפוף להבנה ולדיון במהלך השיעור):</t>
  </si>
  <si>
    <r>
      <t xml:space="preserve">ב-17.6.2021 </t>
    </r>
    <r>
      <rPr>
        <b/>
        <sz val="12"/>
        <color theme="1"/>
        <rFont val="David"/>
      </rPr>
      <t>בבוקר (בפתיחת יום המסחר)</t>
    </r>
    <r>
      <rPr>
        <sz val="12"/>
        <color theme="1"/>
        <rFont val="David"/>
      </rPr>
      <t xml:space="preserve"> נסחר המק״מ בשער 97 אגורות.</t>
    </r>
  </si>
  <si>
    <t>אני מראה לכם</t>
  </si>
  <si>
    <t>התנסות כיתה</t>
  </si>
  <si>
    <t>התחלה</t>
  </si>
  <si>
    <t>סיום</t>
  </si>
  <si>
    <t>הצבה וחילוץ</t>
  </si>
  <si>
    <t>ימים לפדיון חלקי 365</t>
  </si>
  <si>
    <t>ימים לפדיון</t>
  </si>
  <si>
    <t>שאלה 1 - חישובי תשואה עם תקופות חלקיות</t>
  </si>
  <si>
    <t>בתאריך 30.6.2023 נסחרת אג״ח בשער של 98 אג׳. האגרת משלמת ריבית שנתית בשיעור 5% המשולמת כל שנה,</t>
  </si>
  <si>
    <t>נדרש: מהו שיעור התשואה לפדיון, במונחים שנתיים?</t>
  </si>
  <si>
    <t xml:space="preserve">מיכל הדיילת שוקלת להשקיע באג״ח של חברת יובל שגב בע״מ. האג״ח נסחרת במחיר של 105 ש״ח בתאריך 1.1.2018. </t>
  </si>
  <si>
    <t>היא משלמת ריבית נקובה בשיעור שנתי של 8% פעמיים בשנה, ב-31.3 וב-30.9 בהתאמה, וקרן האג״ח נפרעת ב-2 תשלומים</t>
  </si>
  <si>
    <t>מהו שיעור התשואה השנתי לפדיון?</t>
  </si>
  <si>
    <t>טיפ: שימו לב מה מרווח הזמן בין עלות הרכישה היום לבין התקבול הקרוב, לעומת מרווח הזמן בין כל שני תקבולים</t>
  </si>
  <si>
    <t xml:space="preserve">לאחר מכן. בהתאם, חשבו האם וכיצד לייצר שורות ״פיקטיביות״ עם ערכי 0 כדי לפתור. </t>
  </si>
  <si>
    <t>תורכם/ן לפתור:</t>
  </si>
  <si>
    <t>נושא חדש - מק״מ - מלווה קצר מועד</t>
  </si>
  <si>
    <t>הצגה שלי</t>
  </si>
  <si>
    <t xml:space="preserve">בתאריך 23.6.2020 נסחר המק״מ בשער של 97.3 אגורות. </t>
  </si>
  <si>
    <t xml:space="preserve">משקיע רכש את המק״מ בתאריך זה - ה- 23.6.2020. </t>
  </si>
  <si>
    <t>מהי תשואת המשקיע, במונחים שנתיים (=שיעור תשואה שנתי לפדיון)?</t>
  </si>
  <si>
    <t>בנק ישראל הנפיק ב-1.1.2022 מק״מ לשנה.</t>
  </si>
  <si>
    <r>
      <t xml:space="preserve">ב-21.7.2022 </t>
    </r>
    <r>
      <rPr>
        <b/>
        <sz val="12"/>
        <color theme="1"/>
        <rFont val="David"/>
      </rPr>
      <t>בבוקר</t>
    </r>
    <r>
      <rPr>
        <sz val="12"/>
        <color theme="1"/>
        <rFont val="David"/>
      </rPr>
      <t xml:space="preserve"> נסחר המק״מ בתשואה שנתית של 3%.</t>
    </r>
  </si>
  <si>
    <t>חשבו את מחיר המק״מ למועד זה - ה-21.7.2022.</t>
  </si>
  <si>
    <t>דרך פתרון א: שימוש ב - Excel</t>
  </si>
  <si>
    <t>אג״ח קונסול מחלקת קופון שנתי בשיעור 9%. מהו שווי האג״ח היום אם האג״ח נסחרת בתשואה של 11%?</t>
  </si>
  <si>
    <t>המחיר המחולץ - הנדרש</t>
  </si>
  <si>
    <t>דרך פתרון ב: מומלצת הרבה יותר - נוסחה מתמטית:</t>
  </si>
  <si>
    <t>להיוון. נוסחאתית:</t>
  </si>
  <si>
    <t>הקופון התקופתי: ריבית נקובה מוכפלת בערך הנקוב</t>
  </si>
  <si>
    <t>rB * FV</t>
  </si>
  <si>
    <t>rB * FV = 8% * 100 = 8</t>
  </si>
  <si>
    <t>יישום ב - Excel (פחות מומלץ, אך נציג בקצרה):</t>
  </si>
  <si>
    <t>FV</t>
  </si>
  <si>
    <t>קליל - מראה לכם, יש לכם ש״ב עם פתרון מלא</t>
  </si>
  <si>
    <t>נושא חדש ״קטן״ - אג״ח צמיתה / קונסול</t>
  </si>
  <si>
    <t>נושא חדש ״קטן״ אחרון להיום - משמעות המח״מ והרגישות לריבית (נדרש ידע תיאורטי בלבד)</t>
  </si>
  <si>
    <t>תוכן המפגש</t>
  </si>
  <si>
    <t>מימון מתקדם לחשבונאים - הרצאה 5 - אג״ח צמודות</t>
  </si>
  <si>
    <t>תשובה סופית: 114.29</t>
  </si>
  <si>
    <t>להלן הפתרונות המלאים</t>
  </si>
  <si>
    <t>פרט לשיעורים אלו יש גם שיעורים מקובץ התרגול - ראו הדרכה בגיליון COVER</t>
  </si>
  <si>
    <r>
      <t>שנתיים שווים, ב-</t>
    </r>
    <r>
      <rPr>
        <b/>
        <sz val="12"/>
        <color theme="1"/>
        <rFont val="David"/>
      </rPr>
      <t>30</t>
    </r>
    <r>
      <rPr>
        <sz val="12"/>
        <color theme="1"/>
        <rFont val="David"/>
      </rPr>
      <t>.9.2020 וב-30.9.2021 בהתאמה.</t>
    </r>
  </si>
  <si>
    <t>ביצי המתוק:</t>
  </si>
  <si>
    <t>נחלץ שיעור תשואה לפדיון - רבעוני</t>
  </si>
  <si>
    <t xml:space="preserve">(1 + 1.721%)^4 - 1 = </t>
  </si>
  <si>
    <t>נמיר מרבעון לשנה - שיעור תשואה לפדיון שנתי</t>
  </si>
  <si>
    <t>הערה נוספת:</t>
  </si>
  <si>
    <t>ברגע שהקופון משולם כל חצי שנה, הוא בהגדרה נשען על ריבית נקובה חצי שנתית, גם אם אנו רוכשים</t>
  </si>
  <si>
    <t>את האג״ח ״קרוב״ לתשלום הראשון.</t>
  </si>
  <si>
    <t>בשפה פשוטה: כאן הריבית היא 8% לשנה (נקובה), משולמת פעמיים בשנה, ולכן כל קופון חייב להישען</t>
  </si>
  <si>
    <t>על ריבית של 4%, כולל הקופון הקרוב ב-31/3/2018.</t>
  </si>
  <si>
    <r>
      <t xml:space="preserve">למק״מ </t>
    </r>
    <r>
      <rPr>
        <b/>
        <sz val="12"/>
        <color theme="1"/>
        <rFont val="David"/>
      </rPr>
      <t>אין ריבית (נקובה) או הצמדה</t>
    </r>
    <r>
      <rPr>
        <sz val="12"/>
        <color theme="1"/>
        <rFont val="David"/>
      </rPr>
      <t>, והוא נמכר בהנחה (נכיון) ביחס למחירו הנקוב [למשל, עלות מק״מ שערכו</t>
    </r>
  </si>
  <si>
    <t>שלב א: נגדיר בתאים נפרדים את תאריך ההתחלה/התאריך הנתון ואת תאריך הסיום / הפירעון.</t>
  </si>
  <si>
    <t>שווי האג״ח היום, בסימן שלילי (המחיר שבו נסחר היום)</t>
  </si>
  <si>
    <t>תאריך התחלה</t>
  </si>
  <si>
    <t>תאריך סיום</t>
  </si>
  <si>
    <t>במק״מ - תמיד 0</t>
  </si>
  <si>
    <t>במק״מ - תמיד 100 (אלא אם נאמר אחרת)</t>
  </si>
  <si>
    <r>
      <t>בתאריך 1.1.</t>
    </r>
    <r>
      <rPr>
        <b/>
        <sz val="12"/>
        <color theme="1"/>
        <rFont val="David"/>
      </rPr>
      <t>2020</t>
    </r>
    <r>
      <rPr>
        <sz val="12"/>
        <color theme="1"/>
        <rFont val="David"/>
      </rPr>
      <t xml:space="preserve"> הונפק מק״מ לשנה.</t>
    </r>
  </si>
  <si>
    <r>
      <t xml:space="preserve">חשוב לזכור - הואיל ואג״ח צמיתה / קונסול היא כזו שקרנה לא נפרעת לעולם, הרי </t>
    </r>
    <r>
      <rPr>
        <b/>
        <u/>
        <sz val="12"/>
        <color theme="1"/>
        <rFont val="David"/>
      </rPr>
      <t>שתקבוליה הם נצחיים וקבועים</t>
    </r>
    <r>
      <rPr>
        <sz val="12"/>
        <color theme="1"/>
        <rFont val="David"/>
      </rPr>
      <t>,</t>
    </r>
  </si>
  <si>
    <t>רקע: הואיל ואג״ח קונסול היא אג״ח ״לנצח״, בעלת מספר תשלומים ״אינסופי״, לא ניתן לפתור באמצעות טבלה או טור</t>
  </si>
  <si>
    <t xml:space="preserve">תזרימים - יש לפתור באמצעות PV. </t>
  </si>
  <si>
    <t>ריבית נקובה 9% כפול ערך נקוב 100 (מחדל)</t>
  </si>
  <si>
    <t>באג״ח קונסול / לאינסוף, תמיד FV=0</t>
  </si>
  <si>
    <t>ריבית נקובה 9%, ערך נקוב 100, rate=11%</t>
  </si>
  <si>
    <t>באיזו אגרת חוב מבין הבאות יבחר אופיר להשקיע?</t>
  </si>
  <si>
    <t>א. אג״ח לשנה אחת או פחות</t>
  </si>
  <si>
    <t>ב. אג״ח ל-5 שנים</t>
  </si>
  <si>
    <t>ג. אג״ח ל-20 שנים</t>
  </si>
  <si>
    <t>ד. עדיף לאופיר שלא להשקיע ולהמתין עד עליית הריבית בפועל</t>
  </si>
  <si>
    <t>אופיר המבורג׳ל מאמין על בסיס ניתוח מקיף מבוסס שערך, שצפויה לחול עלייה בריבית, זאת, בשונה מהערכות האנליסטים.</t>
  </si>
  <si>
    <t>ראשית, תשובות ב ו-ג פחות מתאימות. אגרות חוב אלו הן לפרק זמן משמעותי / משמעותי מאד, ועליית הריבית האלטרנטיבית</t>
  </si>
  <si>
    <t>תוביל לצניחה משמעותית מאד במחירן.</t>
  </si>
  <si>
    <t xml:space="preserve">לעניין הבחירה בין תשובה א ל-ד, הרי שהיא תלויה בעיתוי המדויק של צפי עליית הריבית. </t>
  </si>
  <si>
    <r>
      <t xml:space="preserve">ככל שאינני יודע מתי בדיוק הריבית תעלה, סביר להניח שעדיף להפקיד את הכספים לזמן </t>
    </r>
    <r>
      <rPr>
        <b/>
        <sz val="12"/>
        <color theme="1"/>
        <rFont val="David"/>
      </rPr>
      <t>קצר</t>
    </r>
    <r>
      <rPr>
        <sz val="12"/>
        <color theme="1"/>
        <rFont val="David"/>
      </rPr>
      <t xml:space="preserve"> (אג״ח קצרה) כדי לקבל</t>
    </r>
  </si>
  <si>
    <t>בינתיים ריבית, וכשהיא תעלה - למכור / לפדות ולקנות אג״ח אחרת.</t>
  </si>
  <si>
    <t xml:space="preserve">פרקטית: א יותר נכונה, במציאות - יועצי השקעות בדרך כלל ימליצו למשקיע כזה להשקיע בקרן כספית / פקדון לזמן </t>
  </si>
  <si>
    <t xml:space="preserve">קצר של מספר חודשים. </t>
  </si>
  <si>
    <t>בית ההשקעות ״לידור״ פרסם במסגרת סקירה כלכלית שערך את הפסקה הבאה:</t>
  </si>
  <si>
    <t>״אנחנו מעריכים שכדי לעודד את הכלכלה, הבנק המרכזי צפוי להוריד את הריבית במידה משמעותית.</t>
  </si>
  <si>
    <t>כפועל יוצא מכך, סביר להניח שתחול ירידה משמעותית גם בשיעור התשואה לפדיון של אגרות חוב קונצרניות (של חברות)״.</t>
  </si>
  <si>
    <t>בהינתן פסקה זו, סמנו את הטענה הנכונה ביותר:</t>
  </si>
  <si>
    <t xml:space="preserve">א. סביר להניח שיועצי בית ההשקעות ימליצו על השקעה באגרות חוב ארוכות (מח״מ גבוה). </t>
  </si>
  <si>
    <t xml:space="preserve">ב. סביר להניח שיועצי בית ההשקעות ימליצו על השקעה באגרות חוב קצרות (מח״מ נמוך). </t>
  </si>
  <si>
    <t xml:space="preserve">ג. סביר להניח שיועצי בית ההשקעות ימליצו לא להשקיע כלל באג״ח בתקופה הנוכחית. </t>
  </si>
  <si>
    <t>ד. לידור</t>
  </si>
  <si>
    <t xml:space="preserve">התשובה היא: א. </t>
  </si>
  <si>
    <t xml:space="preserve">שימו לב, כאן הסיטואציה מתארת מצב שבו הריבית צפויה לרדת. ירידת הריבית (האלטרנטיבית) מובילה לעליית מחירי </t>
  </si>
  <si>
    <t>אגרות החוב, וככל שהן ארוכות יותר (עם מח״מ יותר גבוה) עליית הערך והרווח ההוני למשקיע גבוהה יותר בהתאם.</t>
  </si>
  <si>
    <t>לכן, בסביבה שבה האנליה מציגה צפי לירידת ריבית, במקרים רבים ההמלצה היא ״להאריך את מח״מ התיק״.</t>
  </si>
  <si>
    <t>שלב 1: חשב את מחיר האג״ח במונחים ריאליים</t>
  </si>
  <si>
    <t>לשם כך, התבסס על ריבית ריאלית / תשואה לפדיון ריאלית בתור rate, ועל תזרימים ריאליים המחושבים לפי</t>
  </si>
  <si>
    <t>ריבית נקובה וערך נקוב.</t>
  </si>
  <si>
    <t>טבלת התזרימים:</t>
  </si>
  <si>
    <t>שווי ריאלי - NPV</t>
  </si>
  <si>
    <t>שיעור תשואה ריאלי rate</t>
  </si>
  <si>
    <t>שלב 2: חשבו את מחיר האג״ח היום, לאחר הצמדה</t>
  </si>
  <si>
    <t>כאשר ערכי המדד ידועים, ההצמדה למדד מבוצעת על ידי מכפלת השווי הריאלי ביחס בין ערך המדד העדכני / השוטף,</t>
  </si>
  <si>
    <t>לבין ערך המדד במועד הנפקת האג״ח.</t>
  </si>
  <si>
    <t>מחיר אג״ח צמודה</t>
  </si>
  <si>
    <t>ערך מדד עדכני</t>
  </si>
  <si>
    <t>ערך מדד בסיס</t>
  </si>
  <si>
    <r>
      <rPr>
        <sz val="12"/>
        <color theme="0"/>
        <rFont val="David"/>
      </rPr>
      <t xml:space="preserve">,             </t>
    </r>
    <r>
      <rPr>
        <sz val="12"/>
        <color theme="1"/>
        <rFont val="David"/>
      </rPr>
      <t xml:space="preserve">= NPV(ריאלי) * </t>
    </r>
  </si>
  <si>
    <t>היישום:</t>
  </si>
  <si>
    <t>שאלה 1 - אג״ח ״פשוטה״ צמודה למדד המחירים לצרכן - חישוב מחיר - הצגת מרצה</t>
  </si>
  <si>
    <t xml:space="preserve">אג״ח ממשלתית צמודה למדד המחירים לצרכן ונושאת ריבית נקובה שנתית בשיעור 5%. </t>
  </si>
  <si>
    <t xml:space="preserve">ידוע כי יתרת אורך החיים של האג״ח נכון להיום היא 5 שנים. </t>
  </si>
  <si>
    <t>האג״ח נסחרת כעת בתשואה של 3%.</t>
  </si>
  <si>
    <t>מדד הבסיס במועד ההנפקה היה 102, והמדד הידוע היום הוא 109.</t>
  </si>
  <si>
    <t>שאלה 2 - אג״ח ״פשוטה״ צמודה למדד המחירים לצרכן - חישוב מחיר - התנסות כיתה</t>
  </si>
  <si>
    <t>שאלה 3 - אג״ח צמודות למדד המחירים לצרכן - חילוץ שיעור תשואה - הצגת מרצה</t>
  </si>
  <si>
    <t xml:space="preserve">מהי התשואה השנתית לפדיון היום? </t>
  </si>
  <si>
    <t>או בעצם, זהו המחיר הנומינלי. בתרגילים הקודמים, כשחישבנו את מחיר האג״ח (אחרי הצמדה), כמובן שהתוצאה</t>
  </si>
  <si>
    <t>היא זו שמשקפת את שער האג״ח.</t>
  </si>
  <si>
    <t>בכפוף לתובנה זו, נפעל בשלבים הבאים:</t>
  </si>
  <si>
    <t>שלב זה דומה מאד לשלב 1 שהצגנו בפתרון שאלות 1,2. תזרימים ריאליים בהגדרה מתעלמים מהצמדות.</t>
  </si>
  <si>
    <t>שלב 1: חשב את המחיר הריאלי של האג״ח</t>
  </si>
  <si>
    <t>כזכור, השער / המחיר שנתון הוא נומינלי, אחרי הצמדה. כדי להציב בטבלת תזרימים ולחלץ תשואה ריאלית,</t>
  </si>
  <si>
    <t>מחיר אג״ח ריאלי</t>
  </si>
  <si>
    <r>
      <rPr>
        <sz val="12"/>
        <color theme="0"/>
        <rFont val="David"/>
      </rPr>
      <t xml:space="preserve">,             </t>
    </r>
    <r>
      <rPr>
        <sz val="12"/>
        <color theme="1"/>
        <rFont val="David"/>
      </rPr>
      <t xml:space="preserve">= NPV(נומינלי) * </t>
    </r>
  </si>
  <si>
    <t>הצבה מובילה ל:</t>
  </si>
  <si>
    <r>
      <t xml:space="preserve">שלב 2: הצג את טבלת תזרימי האג״ח </t>
    </r>
    <r>
      <rPr>
        <b/>
        <u/>
        <sz val="12"/>
        <color theme="1"/>
        <rFont val="David"/>
      </rPr>
      <t>הריאליים</t>
    </r>
    <r>
      <rPr>
        <b/>
        <sz val="12"/>
        <color theme="1"/>
        <rFont val="David"/>
      </rPr>
      <t xml:space="preserve"> (אפשר גם לפעול על בסיס חילוץ מבוסס rate, לשיקולכם)</t>
    </r>
  </si>
  <si>
    <t>נציב את המחיר הריאלי בזמן 0 בסימן שלילי, ואחריו את התזרימים הריאליים העוקבים.</t>
  </si>
  <si>
    <t>וכשכל התזרימים בידינו, נחלץ IRR</t>
  </si>
  <si>
    <t>הערה: המתרגלת אוהבת לכפול את הערך הריאלי ב-1 ועוד עליית המדד, במקום בפרופורציה בין המדד העדכני</t>
  </si>
  <si>
    <t>למדד הבסיס. זה כמובן זהה מתמטית, ואתם תבחרו בדרך הנוחה לכם יותר. כלומר, לפי גישת המתרגלת, תחילה</t>
  </si>
  <si>
    <t>מחשבים את השינוי במדד, לפי:</t>
  </si>
  <si>
    <t>מדד עדכני</t>
  </si>
  <si>
    <t>מדד בסיסי</t>
  </si>
  <si>
    <t>אינפלציה</t>
  </si>
  <si>
    <t>באחוזים</t>
  </si>
  <si>
    <t>=</t>
  </si>
  <si>
    <t>ואז מחשבים את המחיר הצמוד לפי הנוסחה:</t>
  </si>
  <si>
    <t xml:space="preserve">מחיר אג״ח צמודה </t>
  </si>
  <si>
    <t>(1 + אינפלציה באחוזים)</t>
  </si>
  <si>
    <t>כאמור, זה אותו דבר. מיטיבי לכת יכולים להתנסות בשתי הגישות ולראות שיוצא להם אותו דבר, מעדכן את זה</t>
  </si>
  <si>
    <t>כדי שלא תרגישו שאנחנו מלמדים בגישות שונות. מציגים אותו דבר בכמה דרכים ואתם תבחרו במה שנוח!</t>
  </si>
  <si>
    <r>
      <t xml:space="preserve">         </t>
    </r>
    <r>
      <rPr>
        <b/>
        <sz val="12"/>
        <color theme="0"/>
        <rFont val="David"/>
      </rPr>
      <t>,</t>
    </r>
    <r>
      <rPr>
        <b/>
        <sz val="12"/>
        <rFont val="David"/>
      </rPr>
      <t xml:space="preserve">=      NPV(ריאלי) * </t>
    </r>
  </si>
  <si>
    <t>שאלה 4 - אג״ח צמודות למדד המחירים לצרכן - חילוץ שיעור תשואה - התנסות כיתה</t>
  </si>
  <si>
    <t>אג״ח ממשלתית צמודה למדד המחירים לצרכן, נושאת ריבית נקובה שנתית בשיעור 5% ויתרת השנים</t>
  </si>
  <si>
    <t xml:space="preserve">אג״ח צמודה לדולר האמריקאי נסחרת היום בשיעור תשואה שנתי לפדיון של 10%. </t>
  </si>
  <si>
    <t>שער הדולר היום 4 ש״ח לדולר, ובמועד ההנפקה הוא היה 3.8 ש״ח לדולר.</t>
  </si>
  <si>
    <t>האג״ח נושאת ריבית שנתית נקובה בשיעור 5% המשולמת בסוף כל שנה, והפדיון יחול בעוד 6 שנים.</t>
  </si>
  <si>
    <t>ניתן לזהות בשאלה זו, די בקלות, שמדובר בתאריכים ״לא שלמים״, הכוללים ימים ספציפיים. לכן נצטרך</t>
  </si>
  <si>
    <t xml:space="preserve">לבצע כאן מספר התאמה לתחשיב הבסיסי, כפי שיוצג להלן. </t>
  </si>
  <si>
    <t>שאלה 6 - אג״ח צמודות לדולר עם התאמות זמן - הצגת מרצה</t>
  </si>
  <si>
    <t>שלב 1: חשב את מחיר האג״ח במונחים ריאליים, בהתעלם מעיוותי זמן (הנחה שעובדים ב״שנים שלמות״)</t>
  </si>
  <si>
    <t>שלב 2: זהה את נקודת הזמן אליה הגעת, לפי העיקרון של ״אחת אחורה״, ותקן את מחיר האג״ח למועד המתאים</t>
  </si>
  <si>
    <t>שלב 3: הצמד את מחיר האג״ח לדולר כדי לחשב מחיר סופי (נומינלי) ע״י מכפלתו ביחס בין השער העדכני לבסיסי</t>
  </si>
  <si>
    <t>שאלה 7 - אג״ח צמודות לדולר עם התאמות זמן - התנסות כיתה (אם לא נספיק - אעלה פתרון מלא)</t>
  </si>
  <si>
    <t>אג״ח חברה צמודה לדולר אמריקאי, נסחרה בתאריך 7.2.2023 בשיעור תשואה שנתי לפדיון של 8%.</t>
  </si>
  <si>
    <t xml:space="preserve">שער הדולר ביום זה היה 4.05 ש״ח לדולר, בעוד שבמועד הנפקת האג״ח הוא היה 3.92 ש״ח לדולר. </t>
  </si>
  <si>
    <t xml:space="preserve">האג״ח נושאת ריבית שנתית נקובה בשיעור 6% המשולמת בסוף כל שנה. </t>
  </si>
  <si>
    <t xml:space="preserve">הערך הנקוב ייפדה בתשלום אחד בתאריך 31.12.2029. </t>
  </si>
  <si>
    <t>מהו מחיר האג״ח בתאריך 7.2.2023?</t>
  </si>
  <si>
    <t>מימון מתקדם לחשבונאים - הרצאה 6 - תמחור מניות</t>
  </si>
  <si>
    <t xml:space="preserve">אג״ח צמודות - משמעות, דיון ותרגול </t>
  </si>
  <si>
    <t>היערכות למפגשים הבאים וקצב ההתקדמות</t>
  </si>
  <si>
    <t>שאלה 8</t>
  </si>
  <si>
    <t>אג״ח ממשלתית צמודה למדד המחירים לצרכן ונושאת ריבית נקובה שנתית בשיעור 6%.</t>
  </si>
  <si>
    <t>מדד הבסיס במועד ההנפקה היה 98 והמדד הידוע היום הוא 103.4.</t>
  </si>
  <si>
    <r>
      <rPr>
        <sz val="12"/>
        <color theme="0"/>
        <rFont val="David"/>
      </rPr>
      <t xml:space="preserve">,             </t>
    </r>
    <r>
      <rPr>
        <sz val="12"/>
        <color theme="1"/>
        <rFont val="David"/>
      </rPr>
      <t xml:space="preserve">= 113.74 </t>
    </r>
  </si>
  <si>
    <t>ובהתאם, התשובה הסופית היא:</t>
  </si>
  <si>
    <t xml:space="preserve">שאלה 9 </t>
  </si>
  <si>
    <t xml:space="preserve">אג״ח ממשלתית צמודה למדד המחירים לצרכן ונושאת ריבית נקובה שנתית בשיעור 7%. </t>
  </si>
  <si>
    <t xml:space="preserve">ידוע כי יתרת אורך החיים של האג״ח נכון להיום היא 6 שנים. </t>
  </si>
  <si>
    <t>האג״ח נסחרת כעת בתשואה של 4%.</t>
  </si>
  <si>
    <t>מדד הבסיס במועד ההנפקה היה 108, והמדד הידוע היום הוא 111.4.</t>
  </si>
  <si>
    <t xml:space="preserve">npv(ריאלי) = </t>
  </si>
  <si>
    <t xml:space="preserve">npv(צמוד, סופי) = </t>
  </si>
  <si>
    <t>ת. סופית</t>
  </si>
  <si>
    <t>שאלה 10</t>
  </si>
  <si>
    <t>כאשר השער ידוע, הוא במונחים נומינליים, יש להמירו לריאליים על ידי כך שכופלים אותו ביחס בין מדד הבסיס</t>
  </si>
  <si>
    <t>לבין המדד העדכני.</t>
  </si>
  <si>
    <t>נבנה טבלת תזרימים, המחיר הריאלי לעיל יוצב בסימן שלילי בזמן 0:</t>
  </si>
  <si>
    <t xml:space="preserve">irr = </t>
  </si>
  <si>
    <t xml:space="preserve">npv(real) = </t>
  </si>
  <si>
    <t>בשלב זה עובדים ״כרגיל״, מציגים תזרימים ריאליים בטבלה, ומשתמשים ב-  NPV כדי לחשב שווי ריאלי:</t>
  </si>
  <si>
    <t xml:space="preserve">rate </t>
  </si>
  <si>
    <t>נעשה זאת על ידי מכפלת ה - npv הריאלי ביחס בין שער הדולר העדכני לשער הדולר במועד ההנפקה:</t>
  </si>
  <si>
    <t xml:space="preserve">npv(סופי) = </t>
  </si>
  <si>
    <t>שער נומינלי, מחיר האג״ח</t>
  </si>
  <si>
    <t xml:space="preserve">שאלה 11 </t>
  </si>
  <si>
    <t xml:space="preserve">שאלה 12 </t>
  </si>
  <si>
    <t>נניח ש...</t>
  </si>
  <si>
    <t>תזרים ריאלי</t>
  </si>
  <si>
    <t>שווי ריאלי ל-31/12/2010</t>
  </si>
  <si>
    <t xml:space="preserve">השווי שחישבנו </t>
  </si>
  <si>
    <t>תאריך הנכונות</t>
  </si>
  <si>
    <t>התאריך לחישוב</t>
  </si>
  <si>
    <t xml:space="preserve">והמדד השוטף הידוע היום הוא 104.8. </t>
  </si>
  <si>
    <t xml:space="preserve">עד למועד הפדיון היא 5. האג״ח נסחרת כעת בשער של 96.5. מדד הבסיס ביום ההנפקה היה 99 </t>
  </si>
  <si>
    <t>שער הדולר היום 4.1 ש״ח לדולר, ובמועד ההנפקה הוא היה 3.92 ש״ח לדולר.</t>
  </si>
  <si>
    <t>אג״ח חברה צמודה לדולר אמריקאי, נסחרה בתאריך 14.3.2011 בשיעור תשואה שנתי לפדיון של 5%.</t>
  </si>
  <si>
    <t xml:space="preserve">שער הדולר ביום זה היה 4.19 ש״ח לדולר, בעוד שבמועד הנפקת האג״ח הוא היה 4.11 ש״ח לדולר. </t>
  </si>
  <si>
    <t xml:space="preserve">האג״ח נושאת ריבית שנתית נקובה בשיעור 4% המשולמת בסוף כל שנה. </t>
  </si>
  <si>
    <t>מהו מחיר האג״ח בתאריך 14.3.2011?</t>
  </si>
  <si>
    <t>ימים שחלפו</t>
  </si>
  <si>
    <t>גם אם לא כללתם ״1+״ בנוסחת חישוב הימים, נקבל את זה הכל טוב</t>
  </si>
  <si>
    <t>דחיפה קדימה וערך ריאלי:</t>
  </si>
  <si>
    <t>מתואם ל-14.3.2022</t>
  </si>
  <si>
    <t>תשובה סופית: 120.01</t>
  </si>
  <si>
    <t>תשובה סופית: 119.37</t>
  </si>
  <si>
    <t>תשובה סופית: 8.23%</t>
  </si>
  <si>
    <t>תשובה סופית: 81.82</t>
  </si>
  <si>
    <t>תשובה סופית: 97.73</t>
  </si>
  <si>
    <t>שיעורי בית - פתרונות מלאים</t>
  </si>
  <si>
    <t>שיעורי בית - ללא פתרון מלא (פתרונות מלאים לאחר שאלה 12)</t>
  </si>
  <si>
    <r>
      <t>האג״ח נסחרת כעת בתשואה (</t>
    </r>
    <r>
      <rPr>
        <u/>
        <sz val="12"/>
        <rFont val="David"/>
      </rPr>
      <t>התשואה לפדיון היא תמיד במונחים ריאליים אלא אם נאמר אחרת!</t>
    </r>
    <r>
      <rPr>
        <sz val="12"/>
        <rFont val="David"/>
      </rPr>
      <t xml:space="preserve">) של 2.5%. </t>
    </r>
  </si>
  <si>
    <r>
      <rPr>
        <sz val="12"/>
        <color theme="0"/>
        <rFont val="David"/>
      </rPr>
      <t>,</t>
    </r>
    <r>
      <rPr>
        <sz val="12"/>
        <rFont val="David"/>
      </rPr>
      <t xml:space="preserve">= 109.52 * 112/106 = </t>
    </r>
  </si>
  <si>
    <t>תשובה סופית: שווי / מחיר האג״ח היום (אחרי הצמדה) הוא 115.72 ש״ח.</t>
  </si>
  <si>
    <t>כלומר במקרה זה האינפלציה באחוזים:</t>
  </si>
  <si>
    <t>112/106 - 1 =</t>
  </si>
  <si>
    <t>כלומר במקרה זה מחיר האג״ח:</t>
  </si>
  <si>
    <r>
      <rPr>
        <sz val="12"/>
        <color theme="0"/>
        <rFont val="David"/>
      </rPr>
      <t>,</t>
    </r>
    <r>
      <rPr>
        <sz val="12"/>
        <rFont val="David"/>
      </rPr>
      <t xml:space="preserve">= 109.52 * (1 + 5.6604%) = </t>
    </r>
  </si>
  <si>
    <t xml:space="preserve">109.16 * 109/102 = </t>
  </si>
  <si>
    <r>
      <t xml:space="preserve">תחילה, חשוב לשים לב. </t>
    </r>
    <r>
      <rPr>
        <b/>
        <sz val="12"/>
        <color theme="1"/>
        <rFont val="David"/>
      </rPr>
      <t>שער האג״ח (שהוא שם נרדף למחיר האג״ח) הוא תמיד מחיר סופי, בש״ח, אחרי הצמדה</t>
    </r>
    <r>
      <rPr>
        <sz val="12"/>
        <color theme="1"/>
        <rFont val="David"/>
      </rPr>
      <t>.</t>
    </r>
  </si>
  <si>
    <r>
      <t xml:space="preserve">אנחנו צריכים </t>
    </r>
    <r>
      <rPr>
        <b/>
        <sz val="12"/>
        <color theme="1"/>
        <rFont val="David"/>
      </rPr>
      <t>מחיר ריאלי</t>
    </r>
    <r>
      <rPr>
        <sz val="12"/>
        <color theme="1"/>
        <rFont val="David"/>
      </rPr>
      <t>. לכן, נשתמש בנוסחה שהיא היפוך של נוסחת מחיר אג״ח צמודה:</t>
    </r>
  </si>
  <si>
    <r>
      <rPr>
        <sz val="12"/>
        <color theme="0"/>
        <rFont val="David"/>
      </rPr>
      <t>,</t>
    </r>
    <r>
      <rPr>
        <sz val="12"/>
        <color theme="1"/>
        <rFont val="David"/>
      </rPr>
      <t xml:space="preserve">= 95 * 99/103 = </t>
    </r>
  </si>
  <si>
    <t>המחיר לפני הצמדה</t>
  </si>
  <si>
    <t>מחיר זה יוצב בסימן שלילי, בטבלת התזרימים הריאליים (לפני הצמדה).</t>
  </si>
  <si>
    <t>התשובה הסופית, שיעור התשואה.</t>
  </si>
  <si>
    <r>
      <t xml:space="preserve">עד למועד הפדיון היא 4. האג״ח נסחרת כעת בשער של </t>
    </r>
    <r>
      <rPr>
        <sz val="12"/>
        <color rgb="FFFF0000"/>
        <rFont val="David"/>
      </rPr>
      <t>98</t>
    </r>
    <r>
      <rPr>
        <sz val="12"/>
        <color theme="1"/>
        <rFont val="David"/>
      </rPr>
      <t xml:space="preserve">. מדד הבסיס ביום ההנפקה היה </t>
    </r>
    <r>
      <rPr>
        <sz val="12"/>
        <color rgb="FF00B050"/>
        <rFont val="David"/>
      </rPr>
      <t>102</t>
    </r>
    <r>
      <rPr>
        <sz val="12"/>
        <color theme="1"/>
        <rFont val="David"/>
      </rPr>
      <t xml:space="preserve"> </t>
    </r>
  </si>
  <si>
    <r>
      <t xml:space="preserve">והמדד השוטף הידוע היום הוא </t>
    </r>
    <r>
      <rPr>
        <sz val="12"/>
        <color rgb="FF00B0F0"/>
        <rFont val="David"/>
      </rPr>
      <t>104.5</t>
    </r>
    <r>
      <rPr>
        <sz val="12"/>
        <color theme="1"/>
        <rFont val="David"/>
      </rPr>
      <t xml:space="preserve">. </t>
    </r>
  </si>
  <si>
    <t>תשובה</t>
  </si>
  <si>
    <t>המחיר הסופי היום, לאחר הצמדה, הוא המחיר הריאלי מוכפל ביחס שבין שער הדולר העדכני לשער הדולר הבסיסי:</t>
  </si>
  <si>
    <t xml:space="preserve">npv(מחיר סופי) = </t>
  </si>
  <si>
    <t xml:space="preserve">78.22 * 4/3.8 = </t>
  </si>
  <si>
    <t>הסופית</t>
  </si>
  <si>
    <t>מס׳ תזרים</t>
  </si>
  <si>
    <t>ביטאנו שווי ריאלי עבור:</t>
  </si>
  <si>
    <t>רוצים שווי עבור:</t>
  </si>
  <si>
    <t>הפרש בימים:</t>
  </si>
  <si>
    <t>נקבל גם תשובה שמתבססת על הפרש ימים של 188</t>
  </si>
  <si>
    <t>התאמה קדימה של המחיר 189 ימים - כופל את המחיר ל-31/12/2010 ב-1 ועוד שיעור התשואה לפדיון,</t>
  </si>
  <si>
    <t>בחזקת מספר הימים חלקי 365:</t>
  </si>
  <si>
    <t xml:space="preserve">89.85 * (1 + 5%)^(189/365) = </t>
  </si>
  <si>
    <t>שווי אג״ח ריאלי לפני הצמדה ל-7/7/2011</t>
  </si>
  <si>
    <t>שווי אג״ח אחרי הצמדה ל-7/7/2011 - תשובה סופית:</t>
  </si>
  <si>
    <t xml:space="preserve">92.15 * 4.12/4.01 = </t>
  </si>
  <si>
    <t>שווי אג״ח סופי אחרי הצמדה</t>
  </si>
  <si>
    <t>ל-7/7/2011</t>
  </si>
  <si>
    <t>הנדרש</t>
  </si>
  <si>
    <t>חישוב מחיר האג״ח לפני הצמדה / כרגיל:</t>
  </si>
  <si>
    <t xml:space="preserve">npv (real) = </t>
  </si>
  <si>
    <t>מחיר אג״ח לפני תיקון זמנים</t>
  </si>
  <si>
    <t>ולפני הצמדה.</t>
  </si>
  <si>
    <t>תיקון הזמנים - דחיפה של התוצאה מנקודת הזמן אליה הגעתי 31/12/2022, לנקודת התמחור 7/2/2023:</t>
  </si>
  <si>
    <t>תאריך נכונות</t>
  </si>
  <si>
    <t>תאריך יעד</t>
  </si>
  <si>
    <t>הפרש ימים</t>
  </si>
  <si>
    <t>תיאום מחיר האג״ח לתאריך הנכון - הוא לפי מחיר האג״ח לפני תיקון זמנים כפול 1 ועוד הריבית</t>
  </si>
  <si>
    <t>בחזקת היחס בין הפרש הימים לבין 365:</t>
  </si>
  <si>
    <t xml:space="preserve">89.587 * (1 + 8%)^(39/365) = </t>
  </si>
  <si>
    <t>מחיר האג״ח אחרי תיקון זמנים, לפני הצמדה.</t>
  </si>
  <si>
    <t>נטפל בהצמדה ונסיים: נכפול את מחיר האג״ח לפני הצמדה ביחס בין שער הדולר העדכני לשער הדולר הבסיסי:</t>
  </si>
  <si>
    <t xml:space="preserve">90.33 * 4.05/3.92 = </t>
  </si>
  <si>
    <t>מחיר האג״ח ל-7/2/2023 אחרי התייחסות להצמדה.</t>
  </si>
  <si>
    <t>כעת, ניתן נגיעה קלה בנושא החדש - תמחור מניות, וכך נחסוך מעט לחץ מהמפגש הבא:</t>
  </si>
  <si>
    <t>מניה:</t>
  </si>
  <si>
    <t xml:space="preserve">מכשיר פיננסי שחברה מנפיקה ואשר מקנה למשקיע בה זכות יחסית לרווחי החברה (דיבידנדים) במידה ויחולקו. </t>
  </si>
  <si>
    <t>כמובן, לבעלי מניות קיימות זכויות נוספות (זכות השפעה / השתתפות באסיפה הכללית וכו׳). בהיבטים אלו לא נעסוק בקורס.</t>
  </si>
  <si>
    <t>אז במה נעסוק בהקשר למניות בקורס?</t>
  </si>
  <si>
    <t>בעיקר בחישוב מחיר המניה וחישובים נלווים רלוונטיים.</t>
  </si>
  <si>
    <t>לפי איזה עיקרון נחשב את שווי המניה?</t>
  </si>
  <si>
    <t xml:space="preserve">כשלמדנו אג״ח, הבהרנו: שווי אג״ח הוא הערך הנוכחי של תזרימי האג״ח (קופון וערך נקוב). </t>
  </si>
  <si>
    <t>במניות - שווי מניה הוא הערך הנוכחי של הדיבידנדים שיתקבלו בעדה (לפחות בגישה שנציג).</t>
  </si>
  <si>
    <t>דגשים בהקשר הטכני - דיבידנדים והשפעתם על השווי, והשוני מול אג״ח:</t>
  </si>
  <si>
    <t>א. הדיבידנדים הם ״אינסופיים״ - מניה ״לא נפדית״.</t>
  </si>
  <si>
    <t>ב. הדיבידנדים צפויים לצמוח - בהתאם להערכות לגבי צמיחת רווחי החברה והדיבידנד שתחלק כפועל יוצא.</t>
  </si>
  <si>
    <t>לאור מאפיינים אלו, ברוב המקרים, לא נפתור תמחור מניות באמצעות נוסחאות אקסל - אלא באמצעות נוסחאות</t>
  </si>
  <si>
    <t>מתמטיות.</t>
  </si>
  <si>
    <t>שאלה א - תמחור מניות - בסיסי</t>
  </si>
  <si>
    <t xml:space="preserve">חברת גלי הנפיקה 10,000 מניות. בהתאם להערכות משקיעים, הדיבידנד השנתי בגין המניות צפוי להיות קבוע </t>
  </si>
  <si>
    <t xml:space="preserve">בסכום של 5 ש״ח למניה ולהתקבל בתום כל שנה, לנצח. </t>
  </si>
  <si>
    <t>בהנחה ששיעור התשואה הנדרש על ידי בעלי המניות הוא 10% לשנה, מה יהא שווי המניה?</t>
  </si>
  <si>
    <t>נצח</t>
  </si>
  <si>
    <t>rate = 10%</t>
  </si>
  <si>
    <t>Ps = 5/10% = 50</t>
  </si>
  <si>
    <t>הסבר:</t>
  </si>
  <si>
    <t>ערך נוכחי של סדרה אינסופית קבועה (ערך נוכחי</t>
  </si>
  <si>
    <t xml:space="preserve">של סדרת דיבידנדים קבועה) נקבע, מתמטית, לפי </t>
  </si>
  <si>
    <t>היחס בין סכום הדיבידנד הקבוע לבין שיעור</t>
  </si>
  <si>
    <t xml:space="preserve">התשואה הנדרש. </t>
  </si>
  <si>
    <t>הדיבידנד התקופתי הקבוע</t>
  </si>
  <si>
    <t>שיעור התשואה הנדרש על ידי בעלי המניות</t>
  </si>
  <si>
    <t>שווי מניה כערך נוכחי של סדרת דיבידנדים קבועים:</t>
  </si>
  <si>
    <t>כל זאת ועוד... במפגש הבא, שבו נטחן תמחור מניות מכל כיוון!!!</t>
  </si>
  <si>
    <t>שאלה 8 - תרגיל לבית</t>
  </si>
  <si>
    <t>שאלה 9 - תרגיל לבית</t>
  </si>
  <si>
    <t>שאלה 10 - תרגיל לבית</t>
  </si>
  <si>
    <t>שאלה 11 - תרגיל לבית</t>
  </si>
  <si>
    <t>שאלה 12 - תרגיל לבית</t>
  </si>
  <si>
    <t xml:space="preserve">שאלה 13 - תרגיל לבית </t>
  </si>
  <si>
    <t>הדיבידנד אתמול (לא רלוונטי, כבר בוצע)</t>
  </si>
  <si>
    <t>שנה הבאה</t>
  </si>
  <si>
    <t>&gt;&gt;&gt;&gt;&gt; g = 10% &gt;&gt;&gt;&gt;&gt;&gt;</t>
  </si>
  <si>
    <t>שנים</t>
  </si>
  <si>
    <t>בהצגה על ציר הזמן:</t>
  </si>
  <si>
    <t>התזרים ״הבא״, בשנה הבאה, יתרחש בעוד שנה אחת, והוא משקף צמיחה של 10% ביחס לקודמו: 0.55 = (10% + 1) * 0.5</t>
  </si>
  <si>
    <t>מהתזרים הבא ואילך, קיימת סדרה אינסופית צומחת בשיעור קבוע, שניתן להפעיל עליה את נוסחת תמחור המניה.</t>
  </si>
  <si>
    <t>כל חישוב סדרה תמיד מוביל ״אחת אחורה״ ובמקרה זה, מזמן 1 לזמן 0, כלומר חישבנו את המחיר היום וסיימנו.</t>
  </si>
  <si>
    <t>כאן:</t>
  </si>
  <si>
    <t>אנחנו לא יכולים לדעת או להעריך מה יהיה הדיבידנד למניה בשנה הבאה. סוג של קירוב. במבחן נבהיר</t>
  </si>
  <si>
    <t>הערך הנדרש</t>
  </si>
  <si>
    <t>חושב בסעיף א: 11</t>
  </si>
  <si>
    <t>Price of Share</t>
  </si>
  <si>
    <t>Earnings per share</t>
  </si>
  <si>
    <t>מנייתו של יצרן המוכר מכונות לחימום נקניק נסחרת היום במחיר של 80 ש״ח. הדיבידנד הבא שצפוי להיות בסכום</t>
  </si>
  <si>
    <t>Ps = 80</t>
  </si>
  <si>
    <t>Div = 3</t>
  </si>
  <si>
    <t>Div = 2</t>
  </si>
  <si>
    <r>
      <t xml:space="preserve">דיבידנד בעוד מספר ימים = מבחינתנו: הדיבידנד הקרוב </t>
    </r>
    <r>
      <rPr>
        <b/>
        <sz val="12"/>
        <color theme="1"/>
        <rFont val="David"/>
      </rPr>
      <t>מחר</t>
    </r>
    <r>
      <rPr>
        <sz val="12"/>
        <color theme="1"/>
        <rFont val="David"/>
      </rPr>
      <t xml:space="preserve">. </t>
    </r>
  </si>
  <si>
    <t>&gt;&gt;&gt;&gt;&gt;&gt;&gt;&gt;&gt;&gt;&gt;&gt;&gt;&gt;&gt;&gt;&gt; g = 0% &gt;&gt;&gt;&gt;&gt;&gt;&gt;&gt;&gt;&gt;&gt;&gt;&gt;&gt;</t>
  </si>
  <si>
    <r>
      <t xml:space="preserve">בנוסף, נתון שסכום הדיבידנד הוא ״2 ש״ח </t>
    </r>
    <r>
      <rPr>
        <b/>
        <sz val="12"/>
        <color theme="1"/>
        <rFont val="David"/>
      </rPr>
      <t>כל שנה</t>
    </r>
    <r>
      <rPr>
        <sz val="12"/>
        <color theme="1"/>
        <rFont val="David"/>
      </rPr>
      <t xml:space="preserve">״ כלומר, לא צומח. </t>
    </r>
  </si>
  <si>
    <t xml:space="preserve">שלב 1: </t>
  </si>
  <si>
    <t>Div/(r-g) = 2/(10% - 0%)</t>
  </si>
  <si>
    <t>שלב 2:</t>
  </si>
  <si>
    <t>* (1 + 10%)^1</t>
  </si>
  <si>
    <t>הצגה מהירה וחזותית לחישוב:</t>
  </si>
  <si>
    <t>חפירה עם כל תהליך ההסבר בטקסט - להלן:</t>
  </si>
  <si>
    <r>
      <t xml:space="preserve">בהנחה שהדיבידנד השנתי צומח בשיעור </t>
    </r>
    <r>
      <rPr>
        <sz val="12"/>
        <color rgb="FFFF0000"/>
        <rFont val="David"/>
      </rPr>
      <t>3%</t>
    </r>
    <r>
      <rPr>
        <sz val="12"/>
        <color theme="1"/>
        <rFont val="David"/>
      </rPr>
      <t xml:space="preserve">, מהי הערכתכם לגבי </t>
    </r>
    <r>
      <rPr>
        <sz val="12"/>
        <color rgb="FF00B050"/>
        <rFont val="David"/>
      </rPr>
      <t>מחיר ההון העצמי</t>
    </r>
    <r>
      <rPr>
        <sz val="12"/>
        <color theme="1"/>
        <rFont val="David"/>
      </rPr>
      <t xml:space="preserve"> של החברה, קרי התשואה</t>
    </r>
  </si>
  <si>
    <r>
      <t xml:space="preserve">Ps = </t>
    </r>
    <r>
      <rPr>
        <b/>
        <sz val="12"/>
        <color rgb="FF00B0F0"/>
        <rFont val="David"/>
      </rPr>
      <t>Div</t>
    </r>
    <r>
      <rPr>
        <sz val="12"/>
        <color theme="1"/>
        <rFont val="David"/>
      </rPr>
      <t>/(</t>
    </r>
    <r>
      <rPr>
        <sz val="12"/>
        <color rgb="FF00B050"/>
        <rFont val="David"/>
      </rPr>
      <t>r</t>
    </r>
    <r>
      <rPr>
        <sz val="12"/>
        <color theme="1"/>
        <rFont val="David"/>
      </rPr>
      <t xml:space="preserve"> - </t>
    </r>
    <r>
      <rPr>
        <sz val="12"/>
        <color rgb="FFFF0000"/>
        <rFont val="David"/>
      </rPr>
      <t>g</t>
    </r>
    <r>
      <rPr>
        <sz val="12"/>
        <color theme="1"/>
        <rFont val="David"/>
      </rPr>
      <t>)</t>
    </r>
  </si>
  <si>
    <r>
      <t xml:space="preserve">2 * 1.03 = </t>
    </r>
    <r>
      <rPr>
        <b/>
        <sz val="12"/>
        <color rgb="FF00B0F0"/>
        <rFont val="David"/>
      </rPr>
      <t>2.06</t>
    </r>
  </si>
  <si>
    <r>
      <t xml:space="preserve">40 = </t>
    </r>
    <r>
      <rPr>
        <b/>
        <sz val="12"/>
        <color rgb="FF00B0F0"/>
        <rFont val="David"/>
      </rPr>
      <t>2.06</t>
    </r>
    <r>
      <rPr>
        <sz val="12"/>
        <color theme="1"/>
        <rFont val="David"/>
      </rPr>
      <t>/(</t>
    </r>
    <r>
      <rPr>
        <sz val="12"/>
        <color rgb="FF00B050"/>
        <rFont val="David"/>
      </rPr>
      <t>r</t>
    </r>
    <r>
      <rPr>
        <sz val="12"/>
        <color theme="1"/>
        <rFont val="David"/>
      </rPr>
      <t>-</t>
    </r>
    <r>
      <rPr>
        <sz val="12"/>
        <color rgb="FFFF0000"/>
        <rFont val="David"/>
      </rPr>
      <t>3%</t>
    </r>
    <r>
      <rPr>
        <sz val="12"/>
        <color theme="1"/>
        <rFont val="David"/>
      </rPr>
      <t>)</t>
    </r>
  </si>
  <si>
    <t>&gt;&gt;&gt;&gt; g = 4%&gt;&gt;&gt;&gt;</t>
  </si>
  <si>
    <t>g = 50%</t>
  </si>
  <si>
    <t>g = 33.33%</t>
  </si>
  <si>
    <t>60/(10% - 4%)</t>
  </si>
  <si>
    <t>NPV</t>
  </si>
  <si>
    <t>PS = 50</t>
  </si>
  <si>
    <t>&gt;&gt;&gt;&gt;&gt;&gt;&gt; g = ?</t>
  </si>
  <si>
    <t>Div/(r - g) = 2/(5% - g)</t>
  </si>
  <si>
    <t>&gt;&gt;&gt;&gt;&gt;&gt;&gt;&gt;&gt;&gt;&gt;&gt;&gt;&gt;&gt;&gt; g = 5%</t>
  </si>
  <si>
    <t>2/(10% - 5%)</t>
  </si>
  <si>
    <t>שלב 1: יישום הנוסחה</t>
  </si>
  <si>
    <t>הסבר בטקסט לשתי השיטות:</t>
  </si>
  <si>
    <t>2.1/(10% - 5%)</t>
  </si>
  <si>
    <t>Ps = 44</t>
  </si>
  <si>
    <t>דרך נוספת - השיטה של המבורגל - חישוב ערך נוכחי רק לתזרימי 1 צפונה (תזרים 1 כולל כבר צמיחה), והוספת תזרים מיידי בזמן 0:</t>
  </si>
  <si>
    <t xml:space="preserve">האחיינית המבריזה שוקלת לרכוש מניית חברה, אשר חילקה לפני שנה דיבידנד בסכום של 10 ש״ח. </t>
  </si>
  <si>
    <t xml:space="preserve">הדיבידנד הקרוב צפוי מחר. </t>
  </si>
  <si>
    <t>שיעור צמיחת הדיבידנד היה קבוע והנו 8% לשנה, אך החל מהשנה ה-4, צפוי שיעור הצמיחה להשתנות ל-6% לנצח.</t>
  </si>
  <si>
    <t>בהנחה ששיעור התשואה הנדרש על ידי בעלי המניות 18%, מהו מחיר המניה היום?</t>
  </si>
  <si>
    <t>Div = 10</t>
  </si>
  <si>
    <t>&gt;&gt;&gt;&gt;&gt; g = 6%</t>
  </si>
  <si>
    <t>משנה 4 לנצח</t>
  </si>
  <si>
    <t>טיפ - תיעזרו בשאלה של ביצי למעלה; תתחילו בלחשב את סכומי הדיבידנד עד וכולל שנה 3.</t>
  </si>
  <si>
    <t>זאת לפי נתוני הצמיחה.</t>
  </si>
  <si>
    <t xml:space="preserve">אחר כך, תחשבו ערך נוכחי רק לתזרימים מזמן 3 והלאה. כך תבטאו אותו במונחי זמן 2. </t>
  </si>
  <si>
    <t xml:space="preserve">תוסיפו ערך זה לתזרים בזמן 2, תבנו טבלה רלוונטית עם התזרימים ותחשבו NPV לפי r=18%. </t>
  </si>
  <si>
    <t xml:space="preserve">נשמע טיפה מורכב? תכף נפתור. אבל זה התהליך הבסיסי. </t>
  </si>
  <si>
    <t>טבלת התזרימים הסופית:</t>
  </si>
  <si>
    <t>תזרים / ערך</t>
  </si>
  <si>
    <t>13.6049/(18%-6%)</t>
  </si>
  <si>
    <t>מחיר המניה - התשובה הסופית</t>
  </si>
  <si>
    <t xml:space="preserve">הביטא היא מדד סיכון - מקובל בשוק ההון - לגבי מניות ונכסים פיננסיים אחרים. </t>
  </si>
  <si>
    <t>ככל שהביטא גבוהה יותר, התשואה הנדרשת על ידי בעלי המניות  - r תהיה גבוהה יותר.</t>
  </si>
  <si>
    <t>קיימת נוסחה מוגדרת היטב המבטאת קשר זה. נוסחה הנשענת על מודל פיננסי שנקרא CAPM.</t>
  </si>
  <si>
    <r>
      <t xml:space="preserve">ב. העריכו את שיעור התשואה הנדרש על המניה (מחיר ההון העצמי) על בסיס </t>
    </r>
    <r>
      <rPr>
        <b/>
        <sz val="12"/>
        <color theme="1"/>
        <rFont val="David"/>
      </rPr>
      <t>מודל ההמחרה לניירות ערך</t>
    </r>
    <r>
      <rPr>
        <sz val="12"/>
        <color theme="1"/>
        <rFont val="David"/>
      </rPr>
      <t xml:space="preserve"> CAPM:</t>
    </r>
  </si>
  <si>
    <t>Capital Asset Pricing Model</t>
  </si>
  <si>
    <t>מדד הסיכון של ההשקעה במניה</t>
  </si>
  <si>
    <t>בשאלה נתון:</t>
  </si>
  <si>
    <t>ריבית חסרת סיכון = 4%</t>
  </si>
  <si>
    <t>תוחלת תשואת תיק השוק = 10%</t>
  </si>
  <si>
    <t>הביטא של המניה = 1.8</t>
  </si>
  <si>
    <r>
      <t>רקע: כולנו יודעים שמחיר מניה מגלם צמיחה (g). והצמיחה נובעת מכך שהחברה מבצעת השקעות ו</t>
    </r>
    <r>
      <rPr>
        <u/>
        <sz val="12"/>
        <color theme="1"/>
        <rFont val="David"/>
      </rPr>
      <t>לא מחלקת את כל הרווח</t>
    </r>
  </si>
  <si>
    <r>
      <t xml:space="preserve">כדיבידנד. המטרה של חישוב PVGO היא לבחון את ההפרש התיאורטי בין </t>
    </r>
    <r>
      <rPr>
        <u/>
        <sz val="12"/>
        <color theme="1"/>
        <rFont val="David"/>
      </rPr>
      <t>מחיר המניה הנוכחי (בהנחת צמיחה)</t>
    </r>
    <r>
      <rPr>
        <sz val="12"/>
        <color theme="1"/>
        <rFont val="David"/>
      </rPr>
      <t xml:space="preserve"> לבין מחיר</t>
    </r>
  </si>
  <si>
    <r>
      <t xml:space="preserve">המניה ההיפותטי שהיה נוצר </t>
    </r>
    <r>
      <rPr>
        <u/>
        <sz val="12"/>
        <color theme="1"/>
        <rFont val="David"/>
      </rPr>
      <t>אם החברה היתה מחלקת את כל הרווח למניה כדיבידנד (ולפיכך, לא צומחת).</t>
    </r>
    <r>
      <rPr>
        <sz val="12"/>
        <color theme="1"/>
        <rFont val="David"/>
      </rPr>
      <t xml:space="preserve"> </t>
    </r>
  </si>
  <si>
    <t>מחיר מניה עדכני בהתחשב בצמיחה, בהתחשב ב - g</t>
  </si>
  <si>
    <t>מחיר מניה ללא צמיחה (g=0)</t>
  </si>
  <si>
    <t>דיבידנד קטן מהרווח למניה (את היתר משקיעים, נוצרת צמיחה)</t>
  </si>
  <si>
    <t>דיבידנד זהה לרווח למניה</t>
  </si>
  <si>
    <r>
      <t xml:space="preserve">PVGO = </t>
    </r>
    <r>
      <rPr>
        <sz val="12"/>
        <color rgb="FFFF0000"/>
        <rFont val="David"/>
      </rPr>
      <t>Div/(r-g)</t>
    </r>
    <r>
      <rPr>
        <sz val="12"/>
        <color theme="1"/>
        <rFont val="David"/>
      </rPr>
      <t xml:space="preserve">      -   </t>
    </r>
    <r>
      <rPr>
        <sz val="12"/>
        <color rgb="FF0070C0"/>
        <rFont val="David"/>
      </rPr>
      <t>EPS/r</t>
    </r>
  </si>
  <si>
    <t>בהיעדר נתונים סותרים, מחיר המניה הנתון (כאן, 100) הוא מחיר מניה עם צמיחה (הביטוי האדום).</t>
  </si>
  <si>
    <r>
      <t xml:space="preserve">הבהרנו כי את </t>
    </r>
    <r>
      <rPr>
        <sz val="12"/>
        <color rgb="FFFF0000"/>
        <rFont val="David"/>
      </rPr>
      <t>מכפיל הרווח</t>
    </r>
    <r>
      <rPr>
        <sz val="12"/>
        <color theme="1"/>
        <rFont val="David"/>
      </rPr>
      <t xml:space="preserve"> מחשבים עקרונית באופן </t>
    </r>
    <r>
      <rPr>
        <b/>
        <sz val="12"/>
        <color theme="1"/>
        <rFont val="David"/>
      </rPr>
      <t>חשבונאי</t>
    </r>
    <r>
      <rPr>
        <sz val="12"/>
        <color theme="1"/>
        <rFont val="David"/>
      </rPr>
      <t xml:space="preserve"> על פי היחס בין </t>
    </r>
    <r>
      <rPr>
        <b/>
        <sz val="12"/>
        <color rgb="FFFF0000"/>
        <rFont val="David"/>
      </rPr>
      <t>מחיר המניה</t>
    </r>
    <r>
      <rPr>
        <sz val="12"/>
        <color theme="1"/>
        <rFont val="David"/>
      </rPr>
      <t xml:space="preserve"> לבין </t>
    </r>
    <r>
      <rPr>
        <b/>
        <sz val="12"/>
        <color rgb="FFFF0000"/>
        <rFont val="David"/>
      </rPr>
      <t>הרווח למניה</t>
    </r>
    <r>
      <rPr>
        <sz val="12"/>
        <color theme="1"/>
        <rFont val="David"/>
      </rPr>
      <t xml:space="preserve"> שפורסם</t>
    </r>
  </si>
  <si>
    <t>מחיר מניה 100 חלקי רווח למניה היסטורי (בשנה שחלפה) - 20</t>
  </si>
  <si>
    <t>מחיר מניה 100 חלקי רווח למניה צפוי בעתיד (בשנה הבאה) - 25</t>
  </si>
  <si>
    <r>
      <t xml:space="preserve">לחילופין בהחלט ייתכן שתשאלו שאלה תיאורטית על ההבדל בין הערכים, כאשר </t>
    </r>
    <r>
      <rPr>
        <b/>
        <sz val="12"/>
        <color theme="1"/>
        <rFont val="David"/>
      </rPr>
      <t>החישוב על בסיס היסטורי עושה שימוש</t>
    </r>
  </si>
  <si>
    <r>
      <rPr>
        <b/>
        <sz val="12"/>
        <color theme="1"/>
        <rFont val="David"/>
      </rPr>
      <t>במידע זמין ויכול להיות רלוונטי אם צפויה יציבות ברווחים</t>
    </r>
    <r>
      <rPr>
        <sz val="12"/>
        <color theme="1"/>
        <rFont val="David"/>
      </rPr>
      <t xml:space="preserve">, בעוד </t>
    </r>
    <r>
      <rPr>
        <b/>
        <sz val="12"/>
        <color theme="1"/>
        <rFont val="David"/>
      </rPr>
      <t>שהחישוב על בסיס עתידי הוא הנכון יותר כלכלית</t>
    </r>
    <r>
      <rPr>
        <sz val="12"/>
        <color theme="1"/>
        <rFont val="David"/>
      </rPr>
      <t xml:space="preserve"> ככל</t>
    </r>
  </si>
  <si>
    <t>English</t>
  </si>
  <si>
    <t>עברית</t>
  </si>
  <si>
    <t>מספר המניות - מיליונים</t>
  </si>
  <si>
    <t>מכפיל הרווח. לשם כך נאספו נתונים על 5 חברות מאותו ענף (ענף חימום הנקניקיות) הנסחרות בבורסה. להלן</t>
  </si>
  <si>
    <t>הנתונים בדבר חברת ״עפרי את שיבז״ (O&amp;S) בע״מ וכן לגבי 5 המתחרות:</t>
  </si>
  <si>
    <t xml:space="preserve">נדרש: מהו המחיר שצפוי בהנפקה למניית חברת ״עפרי את שיבז״ (O&amp;S)? </t>
  </si>
  <si>
    <t>רווח - מיליוני ש״ח</t>
  </si>
  <si>
    <t>רווח למניה = רווח חלקי מס׳ מניות</t>
  </si>
  <si>
    <t>מכפיל רווח: מחיר מניה חלקי רווח למניה</t>
  </si>
  <si>
    <t>מחיר מניה = מכפיל רווח כפול רווח למניה</t>
  </si>
  <si>
    <t xml:space="preserve">מניחים כברירת מחדל ששיעור הצמיחה הממוצע השנתי המשתקף מהנתונים ההיסטוריים הוא אכן משקף לטובת ציפיות הצמיחה </t>
  </si>
  <si>
    <t>רווח למניה (באגורות) - EPS</t>
  </si>
  <si>
    <r>
      <t xml:space="preserve">Div = 162.67 * </t>
    </r>
    <r>
      <rPr>
        <b/>
        <sz val="12"/>
        <color rgb="FF00B050"/>
        <rFont val="David"/>
      </rPr>
      <t>80%</t>
    </r>
    <r>
      <rPr>
        <sz val="12"/>
        <color theme="1"/>
        <rFont val="David"/>
      </rPr>
      <t xml:space="preserve"> = </t>
    </r>
  </si>
  <si>
    <r>
      <rPr>
        <b/>
        <sz val="12"/>
        <color rgb="FF0070C0"/>
        <rFont val="David"/>
      </rPr>
      <t>130.14</t>
    </r>
    <r>
      <rPr>
        <sz val="12"/>
        <color theme="1"/>
        <rFont val="David"/>
      </rPr>
      <t xml:space="preserve">/(15% - </t>
    </r>
    <r>
      <rPr>
        <b/>
        <sz val="12"/>
        <color theme="1"/>
        <rFont val="David"/>
      </rPr>
      <t>8.4472%</t>
    </r>
    <r>
      <rPr>
        <sz val="12"/>
        <color theme="1"/>
        <rFont val="David"/>
      </rPr>
      <t xml:space="preserve">) = </t>
    </r>
  </si>
  <si>
    <t>מחיר המניה בהנחה שהחברה היא</t>
  </si>
  <si>
    <t>כאמור, מחיר המניה עם צמיחה חושב בסעיף א, 1985.96</t>
  </si>
  <si>
    <t>מסקנה: אם החברה היתה בולעת דיבידנדים כמו חזיר החל מ-2017, שווי המניה היה נמוך יותר בהשוואה</t>
  </si>
  <si>
    <t>לשווי הנוכחי בכ-66.43%.</t>
  </si>
  <si>
    <t>שלב 3: חישוב הרווח למניה ב-2023 - רווח למניה אחרון כפול (1 + g):</t>
  </si>
  <si>
    <t>לפני הכל - עדכון!</t>
  </si>
  <si>
    <t>פנייתכם לגבי חומר עזר - אושר חומר פתוח בבחינת הגמר.</t>
  </si>
  <si>
    <t>זה לא אומר שהבחינה קלה!</t>
  </si>
  <si>
    <t>זה כן אומר שלא צריך לשנן. צריך להתמקד בהבנה.</t>
  </si>
  <si>
    <t>וכל אחד יסדר לעצמו את הנוסחאות ומבנה העבודה איך שנוח לו / לה, שזה מגניב.</t>
  </si>
  <si>
    <r>
      <t xml:space="preserve">השווי הוא הערך הנוכחי של תזרימי המזומנים </t>
    </r>
    <r>
      <rPr>
        <b/>
        <sz val="12"/>
        <color theme="1"/>
        <rFont val="David"/>
      </rPr>
      <t>העתידיים</t>
    </r>
    <r>
      <rPr>
        <sz val="12"/>
        <color theme="1"/>
        <rFont val="David"/>
      </rPr>
      <t>. גם אם צפויה הפסקה או השהיה מסויימת שלהם, כל עוד מתקיימים</t>
    </r>
  </si>
  <si>
    <t>התנאים והנסיבות המובילים לצפי סביר של התאוששות ובהתאם יהיו תזרימים עתידיים, השווי כמובן לא יהיה אפס אלא חיובי בהתאם לצפי ולרמת</t>
  </si>
  <si>
    <t>הסיכון המגולמת בשיעור ההיוון (r). כמובן שללא נתונים נוספים לא נוכל להכריע מפורשות, אבל זה הבסיס שצריך להכיר.</t>
  </si>
  <si>
    <t>למעשה, ברמת נוסחת תמחיר מניה:</t>
  </si>
  <si>
    <t>כאשר</t>
  </si>
  <si>
    <t>הדיבידנד העתידי הקרוב ביותר שאחריו הצמיחה קבועה.</t>
  </si>
  <si>
    <t>כאן, החברה היתה הפסדית בעבר - אך על פי הנתונים, צפויה להיות רווחית בעתיד, ולכן סביר להניח</t>
  </si>
  <si>
    <t>שגם הדיבידנדים בעתיד (קרי, מונה הנוסחה) יהיה חיובי, ויוביל לערך חיובי של מחיר המניה.</t>
  </si>
  <si>
    <t>שיעור הצמיחה התקופתי הקבוע. אין כאן נתונים מפורשים אך בהחלט תתכן צמיחה שתגדיל את מחיר</t>
  </si>
  <si>
    <t xml:space="preserve">המניה עוד יותר (לאור הקיטון שהצמיחה יוצרת במכנה החישוב). </t>
  </si>
  <si>
    <t xml:space="preserve">שיעור התשואה הנדרש על ידי בעלי המניות - שיעור ההיוון. נשאלת השאלה: האם דפוס הפעילות </t>
  </si>
  <si>
    <t xml:space="preserve">הרשלני של החברה עשוי להוביל לתפיסת סיכון גבוהה יותר בקרב המשקיעים - שיעור ההיוון יגדל </t>
  </si>
  <si>
    <t>מה שישפיע לרעה (יקטין) את מחיר המניה.</t>
  </si>
  <si>
    <t xml:space="preserve">דיבידנד </t>
  </si>
  <si>
    <t>רבעוני</t>
  </si>
  <si>
    <t>שנתי</t>
  </si>
  <si>
    <t>כאשר מקבלים ערכי דיבידנד שונים / ערכי רווח למניה שונים, חישוב שיעור הצמיחה הממוצע יתבסס על הפרופורציה</t>
  </si>
  <si>
    <t xml:space="preserve">בין סכום הדיבידנד השנתי האחרון (כאן - לתום 2022) לבין לבין סכום הדיבידנד השנתי הראשון (כאן - לתום 2017). כמובן שזהו הערך ל-5 שנים, ולכן נצטרך </t>
  </si>
  <si>
    <r>
      <t xml:space="preserve">לתקנן אותו למונחים של שנה אחת - מדובר ב-5 שנים כי הדיבידנד הראשון </t>
    </r>
    <r>
      <rPr>
        <b/>
        <sz val="12"/>
        <color theme="1"/>
        <rFont val="David"/>
      </rPr>
      <t>בסוף</t>
    </r>
    <r>
      <rPr>
        <sz val="12"/>
        <color theme="1"/>
        <rFont val="David"/>
      </rPr>
      <t xml:space="preserve"> 2017, ועד </t>
    </r>
    <r>
      <rPr>
        <b/>
        <sz val="12"/>
        <color theme="1"/>
        <rFont val="David"/>
      </rPr>
      <t xml:space="preserve">סוף </t>
    </r>
    <r>
      <rPr>
        <sz val="12"/>
        <color theme="1"/>
        <rFont val="David"/>
      </rPr>
      <t>2022 מדובר ב-5 שנים.</t>
    </r>
  </si>
  <si>
    <t>מה עשינו בשורה ה-2? כדי להתאים את הצמיחה מ-5 שנים לשנה, השתמשנו באותה התאמה שמאד מקובלת בריביות אפקטיביות,</t>
  </si>
  <si>
    <t xml:space="preserve">המעריך הוא 1/5 כי אנו זקוקים לערך של שנה אחת מתוך ה-5. </t>
  </si>
  <si>
    <t>ראשי תיבות</t>
  </si>
  <si>
    <t>Weighted</t>
  </si>
  <si>
    <t>Average</t>
  </si>
  <si>
    <t>Cost</t>
  </si>
  <si>
    <t>of Capital</t>
  </si>
  <si>
    <t>מחיר</t>
  </si>
  <si>
    <t>ההון</t>
  </si>
  <si>
    <t>ממוצע</t>
  </si>
  <si>
    <t>משוקלל</t>
  </si>
  <si>
    <r>
      <t xml:space="preserve">על התשואה המשוקללת הנדרשת על ידי משקיעים, במסגרת חישוב מחיר ההון של החברה - שנקרא גם </t>
    </r>
    <r>
      <rPr>
        <b/>
        <sz val="12"/>
        <color rgb="FFFF0000"/>
        <rFont val="David"/>
      </rPr>
      <t>מחיר</t>
    </r>
  </si>
  <si>
    <r>
      <rPr>
        <b/>
        <sz val="12"/>
        <color rgb="FFFF0000"/>
        <rFont val="David"/>
      </rPr>
      <t>ההון הממוצע המשוקלל</t>
    </r>
    <r>
      <rPr>
        <sz val="12"/>
        <color theme="1"/>
        <rFont val="David"/>
      </rPr>
      <t xml:space="preserve"> WACC (Wacca Wacca Eh Eh)</t>
    </r>
  </si>
  <si>
    <t xml:space="preserve">שלב 1: זיהוי סוג החברה (האם ממומנת רק בהון עצמי, או בהון עצמי וחוב) - כאן: ממומנת בהון עצמי בלבד. </t>
  </si>
  <si>
    <t xml:space="preserve">שלב 2: מטרת הנדרש - חישוב מחיר ההון - שחייב להיות מחיר ההון העצמי (הואיל ואין חוב!). </t>
  </si>
  <si>
    <r>
      <t xml:space="preserve">ביטא של 2. </t>
    </r>
    <r>
      <rPr>
        <b/>
        <sz val="12"/>
        <color theme="1"/>
        <rFont val="David"/>
      </rPr>
      <t>החברה שוקלת להתרחב לתחום פעילות חדש</t>
    </r>
    <r>
      <rPr>
        <sz val="12"/>
        <color theme="1"/>
        <rFont val="David"/>
      </rPr>
      <t>, שבו פועלות זה מכבר החברות הבאות הממומנות</t>
    </r>
  </si>
  <si>
    <r>
      <t xml:space="preserve">kE = RF + </t>
    </r>
    <r>
      <rPr>
        <sz val="12"/>
        <color rgb="FFFF0000"/>
        <rFont val="David"/>
      </rPr>
      <t>[E(M) - RF]</t>
    </r>
    <r>
      <rPr>
        <sz val="12"/>
        <color theme="1"/>
        <rFont val="David"/>
      </rPr>
      <t xml:space="preserve"> * β</t>
    </r>
  </si>
  <si>
    <t>החברה ממומנת בהון עצמי בלבד, ויש להתעלם מהשפעות המס.</t>
  </si>
  <si>
    <t xml:space="preserve">שלב 2: מטרת הנדרש - חישוב שווי - קרי ערך מהוון של תזרים המזומנים NPV (לכן נדרש מחיר ההון בתור התחלה). </t>
  </si>
  <si>
    <t>יישום החישוב - נדרש כאן מחיר ההון המשוקלל (כשיש גם הון עצמי וגם הון זר) וצריך להגדירו:</t>
  </si>
  <si>
    <t>שווי ההון העצמי בש״ח</t>
  </si>
  <si>
    <r>
      <t xml:space="preserve">WACC = </t>
    </r>
    <r>
      <rPr>
        <b/>
        <sz val="12"/>
        <color rgb="FFFF0000"/>
        <rFont val="David"/>
      </rPr>
      <t>kE</t>
    </r>
    <r>
      <rPr>
        <sz val="12"/>
        <color theme="1"/>
        <rFont val="David"/>
      </rPr>
      <t xml:space="preserve"> * (</t>
    </r>
    <r>
      <rPr>
        <sz val="12"/>
        <color rgb="FF7030A0"/>
        <rFont val="David"/>
      </rPr>
      <t>E</t>
    </r>
    <r>
      <rPr>
        <sz val="12"/>
        <color theme="1"/>
        <rFont val="David"/>
      </rPr>
      <t>/</t>
    </r>
    <r>
      <rPr>
        <sz val="12"/>
        <color rgb="FF00B050"/>
        <rFont val="David"/>
      </rPr>
      <t>V</t>
    </r>
    <r>
      <rPr>
        <sz val="12"/>
        <color theme="1"/>
        <rFont val="David"/>
      </rPr>
      <t xml:space="preserve">) + </t>
    </r>
    <r>
      <rPr>
        <b/>
        <sz val="12"/>
        <color rgb="FF0070C0"/>
        <rFont val="David"/>
      </rPr>
      <t>kD</t>
    </r>
    <r>
      <rPr>
        <sz val="12"/>
        <color theme="1"/>
        <rFont val="David"/>
      </rPr>
      <t xml:space="preserve"> * (1 - </t>
    </r>
    <r>
      <rPr>
        <b/>
        <sz val="12"/>
        <color rgb="FFFF85FF"/>
        <rFont val="David"/>
      </rPr>
      <t>t</t>
    </r>
    <r>
      <rPr>
        <sz val="12"/>
        <color theme="1"/>
        <rFont val="David"/>
      </rPr>
      <t>) * (D/V)</t>
    </r>
  </si>
  <si>
    <t>נתון - בעוד שנה</t>
  </si>
  <si>
    <r>
      <rPr>
        <b/>
        <sz val="12"/>
        <color rgb="FF7030A0"/>
        <rFont val="David"/>
      </rPr>
      <t>E</t>
    </r>
    <r>
      <rPr>
        <sz val="12"/>
        <color theme="1"/>
        <rFont val="David"/>
      </rPr>
      <t xml:space="preserve"> = 80 * 5,000,000 = </t>
    </r>
  </si>
  <si>
    <r>
      <t xml:space="preserve">WACC = </t>
    </r>
    <r>
      <rPr>
        <b/>
        <sz val="12"/>
        <color rgb="FFFF0000"/>
        <rFont val="David"/>
      </rPr>
      <t>20%</t>
    </r>
    <r>
      <rPr>
        <sz val="12"/>
        <color theme="1"/>
        <rFont val="David"/>
      </rPr>
      <t xml:space="preserve"> * (</t>
    </r>
    <r>
      <rPr>
        <b/>
        <sz val="12"/>
        <color rgb="FF7030A0"/>
        <rFont val="David"/>
      </rPr>
      <t>E</t>
    </r>
    <r>
      <rPr>
        <sz val="12"/>
        <color theme="1"/>
        <rFont val="David"/>
      </rPr>
      <t>/</t>
    </r>
    <r>
      <rPr>
        <b/>
        <sz val="12"/>
        <color rgb="FF00B050"/>
        <rFont val="David"/>
      </rPr>
      <t>V</t>
    </r>
    <r>
      <rPr>
        <sz val="12"/>
        <color theme="1"/>
        <rFont val="David"/>
      </rPr>
      <t xml:space="preserve">) + </t>
    </r>
    <r>
      <rPr>
        <b/>
        <sz val="12"/>
        <color rgb="FF0070C0"/>
        <rFont val="David"/>
      </rPr>
      <t>10%</t>
    </r>
    <r>
      <rPr>
        <sz val="12"/>
        <color theme="1"/>
        <rFont val="David"/>
      </rPr>
      <t xml:space="preserve"> * (1 - </t>
    </r>
    <r>
      <rPr>
        <b/>
        <sz val="12"/>
        <color rgb="FFFF40FF"/>
        <rFont val="David"/>
      </rPr>
      <t>23%</t>
    </r>
    <r>
      <rPr>
        <sz val="12"/>
        <color theme="1"/>
        <rFont val="David"/>
      </rPr>
      <t>) * (100,000,000/</t>
    </r>
    <r>
      <rPr>
        <b/>
        <sz val="12"/>
        <color rgb="FF00B050"/>
        <rFont val="David"/>
      </rPr>
      <t>V</t>
    </r>
    <r>
      <rPr>
        <sz val="12"/>
        <color theme="1"/>
        <rFont val="David"/>
      </rPr>
      <t>)</t>
    </r>
  </si>
  <si>
    <r>
      <t xml:space="preserve">שווי החברה בש״ח </t>
    </r>
    <r>
      <rPr>
        <b/>
        <sz val="12"/>
        <color theme="1"/>
        <rFont val="David"/>
      </rPr>
      <t>V=E+D</t>
    </r>
  </si>
  <si>
    <t>תזרים מזומנים</t>
  </si>
  <si>
    <t>חושב בסעיף א לעיל</t>
  </si>
  <si>
    <t>הואיל וערך ה - NPV שלילי, יש לדחות את הפרויקט.</t>
  </si>
  <si>
    <t>דרך א - טבלה</t>
  </si>
  <si>
    <t>דרך ב - PV</t>
  </si>
  <si>
    <t>כל שנה, 30 שנה</t>
  </si>
  <si>
    <t>תזרים שנתי קבוע</t>
  </si>
  <si>
    <t>אין תזרים חד פעמי בסוף</t>
  </si>
  <si>
    <t>בניכוי השקעה ראשונית משולמת:</t>
  </si>
  <si>
    <t xml:space="preserve">סה״כ NPV = </t>
  </si>
  <si>
    <r>
      <t>ערך נוכחי (</t>
    </r>
    <r>
      <rPr>
        <b/>
        <sz val="12"/>
        <color theme="1"/>
        <rFont val="David"/>
      </rPr>
      <t>מוחלט</t>
    </r>
    <r>
      <rPr>
        <sz val="12"/>
        <color theme="1"/>
        <rFont val="David"/>
      </rPr>
      <t>) של התקבולים בלבד:</t>
    </r>
  </si>
  <si>
    <t>מימון מתקדם לחשבונאיות - הרצאה 10 - יא ווראדי עוד מעט בחינה</t>
  </si>
  <si>
    <r>
      <t>WACC = kE * (</t>
    </r>
    <r>
      <rPr>
        <b/>
        <sz val="12"/>
        <color rgb="FF00B050"/>
        <rFont val="David"/>
      </rPr>
      <t>E/V</t>
    </r>
    <r>
      <rPr>
        <sz val="12"/>
        <color theme="1"/>
        <rFont val="David"/>
      </rPr>
      <t xml:space="preserve">) + kD * (1 - </t>
    </r>
    <r>
      <rPr>
        <b/>
        <sz val="12"/>
        <color rgb="FF00B050"/>
        <rFont val="David"/>
      </rPr>
      <t>t</t>
    </r>
    <r>
      <rPr>
        <sz val="12"/>
        <color theme="1"/>
        <rFont val="David"/>
      </rPr>
      <t>) * (</t>
    </r>
    <r>
      <rPr>
        <b/>
        <sz val="12"/>
        <color rgb="FF00B050"/>
        <rFont val="David"/>
      </rPr>
      <t>D/V</t>
    </r>
    <r>
      <rPr>
        <sz val="12"/>
        <color theme="1"/>
        <rFont val="David"/>
      </rPr>
      <t>)</t>
    </r>
  </si>
  <si>
    <r>
      <rPr>
        <sz val="12"/>
        <color rgb="FFFF0000"/>
        <rFont val="David"/>
      </rPr>
      <t>Ps</t>
    </r>
    <r>
      <rPr>
        <sz val="12"/>
        <color theme="1"/>
        <rFont val="David"/>
      </rPr>
      <t xml:space="preserve"> = </t>
    </r>
    <r>
      <rPr>
        <b/>
        <sz val="12"/>
        <color rgb="FF00B050"/>
        <rFont val="David"/>
      </rPr>
      <t>Div</t>
    </r>
    <r>
      <rPr>
        <sz val="12"/>
        <color theme="1"/>
        <rFont val="David"/>
      </rPr>
      <t xml:space="preserve">/(kE - </t>
    </r>
    <r>
      <rPr>
        <b/>
        <sz val="12"/>
        <color rgb="FFFF40FF"/>
        <rFont val="David"/>
      </rPr>
      <t>g</t>
    </r>
    <r>
      <rPr>
        <sz val="12"/>
        <color theme="1"/>
        <rFont val="David"/>
      </rPr>
      <t>)</t>
    </r>
  </si>
  <si>
    <r>
      <rPr>
        <sz val="12"/>
        <color rgb="FFFF0000"/>
        <rFont val="David"/>
      </rPr>
      <t>48</t>
    </r>
    <r>
      <rPr>
        <sz val="12"/>
        <color theme="1"/>
        <rFont val="David"/>
      </rPr>
      <t xml:space="preserve"> = </t>
    </r>
    <r>
      <rPr>
        <b/>
        <sz val="12"/>
        <color rgb="FF00B050"/>
        <rFont val="David"/>
      </rPr>
      <t>6</t>
    </r>
    <r>
      <rPr>
        <sz val="12"/>
        <color theme="1"/>
        <rFont val="David"/>
      </rPr>
      <t xml:space="preserve">/(kE - </t>
    </r>
    <r>
      <rPr>
        <b/>
        <sz val="12"/>
        <color rgb="FFFF40FF"/>
        <rFont val="David"/>
      </rPr>
      <t>4%</t>
    </r>
    <r>
      <rPr>
        <sz val="12"/>
        <color theme="1"/>
        <rFont val="David"/>
      </rPr>
      <t>)</t>
    </r>
  </si>
  <si>
    <t>אם לא אהבתם את חילוץ התשואה האינטואיטיבי הזה הנה עוד דרך שנשענת על נוסחת תמחור אג״ח אינסופית:</t>
  </si>
  <si>
    <t>לאחר הצבת נתונים בסיסית (למעלה):</t>
  </si>
  <si>
    <t>ולאחר חילוץ kD, kE:</t>
  </si>
  <si>
    <t>שלב 3 - אם השת״פ של הפרויקט הספציפי הנדון גבוה מה - WACC שגילינו, הפרויקט כדאי. אחרת איננו כדאי.</t>
  </si>
  <si>
    <t>זכרו: השת״פ של פרויקט משקף כלכלית את שיעור התשואה התקופתי שהוא מניב. על מנת שפרויקט יהיה כדאי,</t>
  </si>
  <si>
    <t xml:space="preserve">נדרש ששיעור תשואה זה יהיה גבוה יותר ממחיר ההון (התשואה הנדרשת על ידי המשקיעים). </t>
  </si>
  <si>
    <t>נכפול שווי מניה במספר המניות הנתון (50,000) ונגיע לשווי ההון העצמי:</t>
  </si>
  <si>
    <t>יותר מינוף פיננסי &gt;&gt;&gt; חלק גבוה מנכסי החברה ממומן בחוב &gt;&gt;&gt; הסיכון לבעלים גבוה יותר</t>
  </si>
  <si>
    <t xml:space="preserve">בשפה פשוטה יותר: כשמדובר בחברה ספציפית, מה נכון לומר? kE&gt;kD או kD&gt;kE. </t>
  </si>
  <si>
    <t xml:space="preserve">כיצד ייתכן שלפי מודל מודיליאני ומילר (מודל לחישוב ההשפעה של מינוף פיננסי על מחיר ההון), בעולם ללא מס וללא </t>
  </si>
  <si>
    <t>עלויות פשיטת רגל, המנוף הפיננסי לא משפיע על  מחיר ההון הכולל - ה WACC? הסבירו בקצרה.</t>
  </si>
  <si>
    <t>אם אין מסים או בעצם t=0:</t>
  </si>
  <si>
    <t>כלומר החברה גייסה חוב, הנפיקה עוד אג״ח</t>
  </si>
  <si>
    <t>אך במקביל: משקל ההון העצמי בחברה קטן:</t>
  </si>
  <si>
    <t>מחייב - חלק מהחומר</t>
  </si>
  <si>
    <t>מחיר ההון, ביטא והקשר למינוף:</t>
  </si>
  <si>
    <t>מבנה הבחינה:</t>
  </si>
  <si>
    <t>הבחינה כוללת 3 שאלות פתוחות ו-2 שאלות רב-ברירה (אמריקאיות).</t>
  </si>
  <si>
    <t>בשאלות האמריקאיות לא תיבדק הדרך.</t>
  </si>
  <si>
    <t>הרכב השאלות:</t>
  </si>
  <si>
    <t>שאלה</t>
  </si>
  <si>
    <t>משקל</t>
  </si>
  <si>
    <t>הערות נוספות</t>
  </si>
  <si>
    <t>אג״ח</t>
  </si>
  <si>
    <t>שאלה פשוטה יחסית, סוגיות בסיסיות</t>
  </si>
  <si>
    <t>שאלה מתקדמת יותר, סוגיות מתקדמות ושיקול דעת</t>
  </si>
  <si>
    <t>מניות</t>
  </si>
  <si>
    <t>שאלה תיאורטית / חישובית קצרה</t>
  </si>
  <si>
    <t>חומר עזר:</t>
  </si>
  <si>
    <t>כל חומר עזר כתוב מותר בשימוש.</t>
  </si>
  <si>
    <t>אופן ההבחנות:</t>
  </si>
  <si>
    <t xml:space="preserve">ממוחשב / על גבי Excel. </t>
  </si>
  <si>
    <t>האם ניתן להשתמש במחשבון רגיל:</t>
  </si>
  <si>
    <t>לא. הבודקים ירצו לראות את כל הדרך באקסל.</t>
  </si>
  <si>
    <t>אופן ביצוע</t>
  </si>
  <si>
    <t>א-סינכרוני</t>
  </si>
  <si>
    <t>לייב + מוקלט בזום</t>
  </si>
  <si>
    <t>הערות</t>
  </si>
  <si>
    <t>ל״ר</t>
  </si>
  <si>
    <t>מערך שיעורי חזרה:</t>
  </si>
  <si>
    <t>מערך מבחנים לדוגמא:</t>
  </si>
  <si>
    <t>יפורסם לאחר מיפוי סופי ובהקדם. יהיו לפחות 3, נשתדל שיותר. בכל מקרה זה סמסטר מיוחד, המיקוד והדגשים</t>
  </si>
  <si>
    <t>שונים. הדרך הבטוחה ביותר היא תמיד לטחון את המחברת הזו; המבחנים לדוגמא מדגימים, אבל לא מקיפים</t>
  </si>
  <si>
    <t>את כל הדגשים.</t>
  </si>
  <si>
    <t xml:space="preserve">שעות קבלה: מפורסמים מטעם בית הספר ויתקיימו על ידי מורן, או חלמיש, או עידן. </t>
  </si>
  <si>
    <t>שאלה 1 לתרגול (30 נק׳)</t>
  </si>
  <si>
    <t>חברת ״דלוקי השמנמן״ בע״מ הנפיקה ב-1.1.2020 אגרת חוב שערכה הנקוב 500 ש״ח. אגרת החוב נושאת ריבית שנתית</t>
  </si>
  <si>
    <t xml:space="preserve">נקובה בשיעור 10% המשולמת פעם בשנה. קרן האג״ח נפרעת ב-4 תשלומים שנתיים שווים שהראשון שבהם יבוצע </t>
  </si>
  <si>
    <t xml:space="preserve">ב-31.12.2022. </t>
  </si>
  <si>
    <t xml:space="preserve">היום ה-1.10.2020 וידוע כי מחיר האג״ח הוא 480 ש״ח. </t>
  </si>
  <si>
    <t>א. מהו שיעור התשואה לפדיון (במונחים שנתיים)?</t>
  </si>
  <si>
    <t>ב. בהנחה שלא חל שינוי בשיעור התשואה לפדיון, מה יהיה שווי האג״ח ב-1.1.2022?</t>
  </si>
  <si>
    <t xml:space="preserve">ג. בהנחה שמדובר באג״ח שהקרן שלה והריבית בגינה צמודות למדד, מה יהיה שווי האג״ח ב-1.2.2022 אם ידוע </t>
  </si>
  <si>
    <t xml:space="preserve">    שהמדד במועד הנפקת האג״ח היה 102 והמדד העדכני ל-1.2.2022 הוא 109? יש להניח ששיעור התשואה לפדיון</t>
  </si>
  <si>
    <t xml:space="preserve">    זהה למחושב בסעיף א. </t>
  </si>
  <si>
    <t>שאלה 2 לתרגול (30 נק׳)</t>
  </si>
  <si>
    <t>נכון ל-31.12.2020 צפוי כי החברה תחלק דיבידנד בתום כל שנה (החל מה-31.12.2021) בסכום של 0.3 ש״ח למניה וכן</t>
  </si>
  <si>
    <t>שימו לב, חלק מסויים מתכני מפגש 9 אינם מחייבים לבחינה: ציינתי זאת במערך שיעור 9. סקרו אותו.</t>
  </si>
  <si>
    <t>בשאלות הפתוחות יינתן משקל משמעותי לדרך, ובשאלות מסויימות - גם לשיקול הדעת וההנמקה.</t>
  </si>
  <si>
    <t>סוג השאלה</t>
  </si>
  <si>
    <t>פתוחה</t>
  </si>
  <si>
    <t>אמריקאית</t>
  </si>
  <si>
    <t xml:space="preserve">טנטטיבי - ייבדק ויאושר בהקדם מול לשכת הדיקאן </t>
  </si>
  <si>
    <t>מאד אינטנסיבי - אג״ח</t>
  </si>
  <si>
    <t>מאד אינטנסיבי - מניות</t>
  </si>
  <si>
    <t>כי בכל שנה עוקבת, יצמח שיעור הדיבידנד ב-5%. ידוע כי הביטא של המניה היתה עד לאחרונה 1.3, אך לאור שינויים</t>
  </si>
  <si>
    <t xml:space="preserve">בדפוס הפעילות של החברה הביטא שלה עלתה ל-1.6. </t>
  </si>
  <si>
    <t xml:space="preserve">הריבית חסרת הסיכון היא 5%. תוחלת תשואת תיק השוק היא 13%. </t>
  </si>
  <si>
    <t>א. מהו מחיר המניה היום?</t>
  </si>
  <si>
    <t>בהנחה שיתר הפרמטרים ללא שינוי, מהו הערך הנוכחי של הזדמנויות הצמיחה בחברה (PVGO)?</t>
  </si>
  <si>
    <t>ג. החברה שוקלת להכנס לפרויקט בתחום פעילות שונה לחלוטין. להלן נתונים בדבר ערכי הביטא של חברות מקבילות</t>
  </si>
  <si>
    <t>הפועלות בתחום זה:</t>
  </si>
  <si>
    <t>חברה</t>
  </si>
  <si>
    <t>ד</t>
  </si>
  <si>
    <t>הניחו כי החברה ממומנת בהון עצמי בלבד, וידוע כי תזרימי המזומנים שצפויים לנבוע מהפרויקט כוללים השקעה</t>
  </si>
  <si>
    <t>מיידית בסך 12 א׳ ש״ח, ותניב תקבולים בסך 4 א׳ ש״ח בתום כל שנה במשך 4 שנים. בנתונים אלו, האם ההשקעה</t>
  </si>
  <si>
    <t xml:space="preserve">בפרויקט כדאית? נמקו הן בכלים של IRR והן בכלים של NPV. </t>
  </si>
  <si>
    <t xml:space="preserve">    איננה צמודה.</t>
  </si>
  <si>
    <t xml:space="preserve">ד. הסבירו עקרונית: כיצד ישפיע שינוי בתקופת האג״ח על הסיכון למשקיע באג״ח? הניחו לצורך המענה כי האג״ח </t>
  </si>
  <si>
    <t>פתרון א - ניתוח אג״ח שהקרן שלה נפרעת בתשלומים - באמצעות טבלת תזרימים</t>
  </si>
  <si>
    <t>ע״ח ריבית</t>
  </si>
  <si>
    <t>תום רבעון 1</t>
  </si>
  <si>
    <t>תום רבעון 2</t>
  </si>
  <si>
    <t>תום רבעון 3</t>
  </si>
  <si>
    <t>הואיל ומרווח הזמן בין ההווה / נקודת התמחור לתזרים הראשון הוא רבעון, ופרק הזמן בין כל שני</t>
  </si>
  <si>
    <t xml:space="preserve">תשלומים לאחר מכן הוא שנה, עלינו ״להאחיד״ את מרווח הזמן בין ערכים בציר ליחידת המידה </t>
  </si>
  <si>
    <t>הקצרה ביותר - כלומר לייצר ציר / טבלה רבעונית. ברבעונים שבהם אין תשלומים, פשוט נזין</t>
  </si>
  <si>
    <t>סך תזרים 0. כעת, לאחר שהטבלה מוגדרת במונחים רבעוניים, נוכל להריץ IRR על תזרימיה.</t>
  </si>
  <si>
    <t>התוצאה שתתקבל תשקף את שיעור התשואה לפדיון לרבעון.</t>
  </si>
  <si>
    <t xml:space="preserve">IRR = </t>
  </si>
  <si>
    <t>שיעור תשואה לפדיון לרבעון:</t>
  </si>
  <si>
    <t>המרת שיעור תשואה לפדיון באמצעות נוסחת הריבית האפקטיבית מרבעון לשנה:</t>
  </si>
  <si>
    <t xml:space="preserve">rate (annual) = </t>
  </si>
  <si>
    <t>תשובתי הסופית לסעיף א</t>
  </si>
  <si>
    <t>פתרון סעיף ב - בהנחה שלא חל שינוי בשיעור התשואה לפדיון, מה יהיה שווי האג״ח ב-1.1.2022?</t>
  </si>
  <si>
    <t xml:space="preserve">שווי האג״ח ל-1.1.2022 הוא למעשה ה - NPV של תזרימי האג״ח החל מתום הרבעון ה-1 של 2022. </t>
  </si>
  <si>
    <t>אלו סומנו לשם נוחות בצבע של פלסטר לעיל:</t>
  </si>
  <si>
    <t>לשם החישוב, התבססנו על IRR רבעוני לשם נוחות: במקום ליצור טבלה חדשה שוב, שבה הערכים</t>
  </si>
  <si>
    <t xml:space="preserve">יהיו שנתיים, עדיף היה לי לחסוך בזמן ולהשתמש בערכים הרבעוניים שבניתי לטובת נדרש א. </t>
  </si>
  <si>
    <t>PB(1.1.2022)=</t>
  </si>
  <si>
    <t xml:space="preserve">פתרון ג - בהנחה שמדובר באג״ח שהקרן שלה והריבית בגינה צמודות למדד, מה יהיה שווי האג״ח ב-1.2.2022 אם ידוע </t>
  </si>
  <si>
    <t>שהמדד במועד הנפקת האג״ח היה 102 והמדד העדכני ל-1.2.2022 הוא 109? יש להניח ששיעור התשואה לפדיון</t>
  </si>
  <si>
    <t xml:space="preserve">זהה למחושב בסעיף א. </t>
  </si>
  <si>
    <t>בהתאם לתהליך העבודה שהצגנו, תמחור אג״ח צמודה למדד יעבוד בשני שלבים:</t>
  </si>
  <si>
    <t xml:space="preserve">תחילה, נחשב את שווי האג״ח על בסיס NPV או PV ובהתאמות מתבקשות. </t>
  </si>
  <si>
    <t>את התוצאה שאיננה סופית ונקראת ״מחיר ריאלי״ עלינו להצמיד למדד - על ידי מכפלה ביחס בין המדד העדכני / השוטף</t>
  </si>
  <si>
    <t xml:space="preserve">לבין מדד הבסיס. </t>
  </si>
  <si>
    <t>PB = ?</t>
  </si>
  <si>
    <t>* (14.19%)^(1/12)</t>
  </si>
  <si>
    <t>יישום שלב 1: NPV לכלל התזרימים החל מתום רבעון 1 - 2022:</t>
  </si>
  <si>
    <t>יישום שלב 2: התאמת זמן ל-1.2.2022 (היעד):</t>
  </si>
  <si>
    <t>שווי ריאלי אג״ח ל-1.2.2022 (לפני הצמדה)</t>
  </si>
  <si>
    <t>כל שנצטרך לבצע כעת, כדי לחשב את שווי האג״ח הכולל / במונחים נומינליים הוא לכפול את השווי הריאלי שקיבלנו</t>
  </si>
  <si>
    <t>ביחס בין המדד העדכני לבין מדד הבסיס במועד הנפקת האג״ח:</t>
  </si>
  <si>
    <t>מדד בסיס:</t>
  </si>
  <si>
    <t>מדד עדכני:</t>
  </si>
  <si>
    <t>שווי אג״ח צמודה:</t>
  </si>
  <si>
    <t xml:space="preserve">    הטענה הבסיסית היתה - שככל שאורך חיי האג״ח משמעותי יותר, כך רגישות השינויים במחיר האג״ח לשינויי ריבית</t>
  </si>
  <si>
    <t xml:space="preserve">    אלטרנטיבית / שיעור תשואה לפדיון - רבה יותר.</t>
  </si>
  <si>
    <t xml:space="preserve">    בקורס הוצג מושגית בלבד המושג מח״מ (משך חיים ממוצע / דורציה). </t>
  </si>
  <si>
    <t xml:space="preserve">    בפשטות: אם רכשתי אג״ח ל-20 שנה, הירידה במחירה שתנבע מהיוון בריבית אלטרנטיבית גבוהה יותר תהיה חדה יותר</t>
  </si>
  <si>
    <t xml:space="preserve">    מאשר הירידה במחיר אג״ח שהיא ל-5 שנים.</t>
  </si>
  <si>
    <t xml:space="preserve">    משקיע הקונה אג״ח ״ארוכה״ חשוף יותר, לפיכך, לשינויים במחירי אג״ח - ולכן אם ישקול למכור אותה טרם </t>
  </si>
  <si>
    <t xml:space="preserve">    מועד פרעונה, עשוי לחוות הפסדי הון / רווחי הון גבוהים יותר (תלוי בכיוון השתנות הריבית). </t>
  </si>
  <si>
    <t xml:space="preserve">    אל התלמיד/ה: להרחבה בנושא, עיינו בשיעור 4. לא תהיינה שאלות שידרשו חישוב המח״מ עצמו כגודל מתמטי;</t>
  </si>
  <si>
    <t xml:space="preserve">    כן תדרש הבנת השפעתו בהיבט סיכונים ושינויים אפשריים במחירי האג״ח. </t>
  </si>
  <si>
    <t>העתקת נתונים להקלה על המעקב:</t>
  </si>
  <si>
    <t>מחיר המניה הוא הערך הנוכחי של תזרימי הדיבידנד הצפויים ממנה.</t>
  </si>
  <si>
    <t>31.12.2020</t>
  </si>
  <si>
    <t>31.12.2021</t>
  </si>
  <si>
    <t xml:space="preserve">חברת ״בטטי״ הנפיקה ב-1.1.2020 מניות שערכן הנקוב 50,000 ש״ח בתמורה ל-150,000 ש״ח. </t>
  </si>
  <si>
    <t>31.12.2022</t>
  </si>
  <si>
    <t>31.12.2023</t>
  </si>
  <si>
    <t>31.12.2024</t>
  </si>
  <si>
    <t>כדי לתמחר את המניה, ארצה ליישם את נוסחת היוון תזרימי הדיבידנד:</t>
  </si>
  <si>
    <t>איך נגלה את r, את שיעור התשואה הנדרש על ידי בעלי המניות? ובכן, בהינתן נתוני ביטא (מדד סיכון), תוחלת תשואת</t>
  </si>
  <si>
    <t>תיק השוק וריבית חסרת סיכון - אפשר להשתמש בנוסחת CAPM שהיא מכשיר לקביעת התשואה הנדרשת:</t>
  </si>
  <si>
    <t>המטרה של הביטא היא לשקף את הסיכון הרלוונטי לתחום הפעילות של החברה. במקרה זה, חל שינוי ברמת הסיכון;</t>
  </si>
  <si>
    <t xml:space="preserve">והואיל והמטרה היא לתמחר מניה על בסיס תזרימיה העתידיים, כמובן שגם חישוב השווי צריך להשען על הסיכון </t>
  </si>
  <si>
    <t>הגלום בפעילות עתידית זו - ולא על רכיב / נתון סיכון היסטורי שכבר לא רלוונטי.</t>
  </si>
  <si>
    <t>כל עסקת תמחור נכסים תמיד נשענת על ההבנה של פוטנציאל התשואות והסיכונים בעתיד, לאחר הרכישה.</t>
  </si>
  <si>
    <t>כשם שאינני מתבסס על דיבידנד היסטורי לתמחור - אלא על דיבידנדים עתידיים, כך לא אתבסס על סיכון</t>
  </si>
  <si>
    <t>היסטורי לא רלוונטי לתמחור, אלא על הסיכון הגלום בפעילות העתידית.</t>
  </si>
  <si>
    <t>ב. ידוע כי במידה והחברה לא תשקיע כלל, תוכל לחלק דיבידנד בסכום של 0.31 ש״ח למניה בתום כל שנה לנצח.</t>
  </si>
  <si>
    <t>הערך הנוכחי של הזדמנויות הצמיחה בחברה - PVGO, הוא בעצם הפרש פשוט והגיוני יחסית:</t>
  </si>
  <si>
    <t>מהו מחיר המניה היום, כרגע, לפי הנתונים המגלמים צמיחה.</t>
  </si>
  <si>
    <t>מה היה צפוי להיות מחיר המניה התיאורטי ללא צמיחה / ללא השקעות:</t>
  </si>
  <si>
    <t>Ps(NoGrowth)</t>
  </si>
  <si>
    <t>PVGO = Ps(Growth) - Ps(NoGrowth)</t>
  </si>
  <si>
    <t>וההגדרה - של PVGO היא ההפרש:</t>
  </si>
  <si>
    <t xml:space="preserve">מחיר המניה ״עם צמיחה״ הוא למעשה ה״מחיר הרגיל״, זה שחישבנו קודם, והוא מגלם את הצמיחה, את g. </t>
  </si>
  <si>
    <t xml:space="preserve">כדי לחשב את מחיר המניה ללא צמיחה, עליי להביא בחשבון את התזרימים הצפויים בהנחה שכל הרווח </t>
  </si>
  <si>
    <t xml:space="preserve">יחולק כדיבידנד. בשאלה עצמה, ציינו נתון מפורש: במידה והחברה לא תבצע השקעות אלא תחלק את </t>
  </si>
  <si>
    <t xml:space="preserve">כל רווחיה כדיבידנד (ולכן, לא תהיה צמיחה) הדיבידנד השנתי יהיה 0.31. </t>
  </si>
  <si>
    <r>
      <t xml:space="preserve">g = </t>
    </r>
    <r>
      <rPr>
        <sz val="12"/>
        <color rgb="FF0070C0"/>
        <rFont val="David"/>
      </rPr>
      <t>0</t>
    </r>
    <r>
      <rPr>
        <sz val="12"/>
        <color theme="1"/>
        <rFont val="David"/>
      </rPr>
      <t>%</t>
    </r>
  </si>
  <si>
    <t>בסך הכל, מחיר המניה שחושב לעיל ״עם צמיחה״:</t>
  </si>
  <si>
    <t xml:space="preserve">Ps(Growth) = </t>
  </si>
  <si>
    <t>מחיר המניה שחושב בסעיף זה, ״ללא צמיחה״:</t>
  </si>
  <si>
    <t xml:space="preserve">Ps(NoGrowth) = </t>
  </si>
  <si>
    <t>ההפרש - הערך הנוכחי של הזדמנויות הצמיחה:</t>
  </si>
  <si>
    <t xml:space="preserve">PVGO = </t>
  </si>
  <si>
    <t>חברת ״בטטי״ הנפיקה ב-1.1.2020 מניות שערכן הנקוב 50,000 ש״ח בתמורה ל-150,000 ש״ח.</t>
  </si>
  <si>
    <t>נדרש ג: החברה שוקלת להכנס לפרויקט בתחום פעילות שונה לחלוטין. להלן נתונים בדבר ערכי הביטא של חברות מקבילות</t>
  </si>
  <si>
    <t>התייחסות:</t>
  </si>
  <si>
    <t xml:space="preserve">כדי לקבוע האם פרויקט כדאי, יש לאפיין את תזרימיו - שכאן, נתונים לגמרי, ולהוון אותם במחיר הון רלוונטי. </t>
  </si>
  <si>
    <t>אם החברה שוקלת לבצע פרויקט בתחום שונה לגמרי, מחיר ההון המתאים צריך להיות כזה שישקף את רמת הסיכון</t>
  </si>
  <si>
    <t xml:space="preserve">בתחום השונה כאמור; ולא את מחיר ההון הכולל של החברה - המשקף תחום שונה, וסיכון שונה. </t>
  </si>
  <si>
    <t>לשם חישוב מחיר ההון, עקרונית, צריך את מחיר ההון העצמי, את מחיר ההון הזר, ולשקלל.</t>
  </si>
  <si>
    <t xml:space="preserve">אלא שכאן עזרו לי ואמרו לי שהחברה ממומנת בהון עצמי בלבד. לכן, מחיר ההון הכולל שלה הוא מחיר ההון העצמי </t>
  </si>
  <si>
    <t>שלה. ואותו - ניתן לחשב על בסיס הביטא הממוצעת בתחום הפעילות החדש.</t>
  </si>
  <si>
    <t>בקצרה: תחום חדש &gt;&gt;&gt; ביטא חדשה &gt;&gt;&gt; אומדן לפי ממוצע ביטות בתחום &gt;&gt;&gt; מחיר הון עצמי (100% הון = ריבית להיוון).</t>
  </si>
  <si>
    <t>ביטא ממוצעת</t>
  </si>
  <si>
    <t>נציג את תזרימי הפרויקט:</t>
  </si>
  <si>
    <t>ערך שלילי, לא כדאי לבצע לפי NPV</t>
  </si>
  <si>
    <t>ערך נמוך ממחיר ההון, לא כדאי לבצע לפי IRR</t>
  </si>
  <si>
    <t>ד״ר שי צבאן</t>
  </si>
  <si>
    <t>אופן חישוב מחיר אג״ח (תשלומי ריבית כל שנה, פירעון ערך נקוב בתום תקופה) וההבדל בין ריבית נקובה לתשואה לפדיון</t>
  </si>
  <si>
    <r>
      <t xml:space="preserve">אגרת החוב נושאת </t>
    </r>
    <r>
      <rPr>
        <b/>
        <sz val="12"/>
        <color theme="1"/>
        <rFont val="David"/>
      </rPr>
      <t>ריבית שנתית נקובה בשיעור 5%</t>
    </r>
    <r>
      <rPr>
        <sz val="12"/>
        <color theme="1"/>
        <rFont val="David"/>
      </rPr>
      <t xml:space="preserve"> המשולמת בתום כל שנה.</t>
    </r>
  </si>
  <si>
    <r>
      <rPr>
        <b/>
        <sz val="12"/>
        <color theme="0"/>
        <rFont val="David"/>
      </rPr>
      <t>5%</t>
    </r>
    <r>
      <rPr>
        <sz val="12"/>
        <color theme="0"/>
        <rFont val="David"/>
      </rPr>
      <t xml:space="preserve"> * </t>
    </r>
    <r>
      <rPr>
        <b/>
        <sz val="12"/>
        <color theme="0"/>
        <rFont val="David"/>
      </rPr>
      <t>100</t>
    </r>
    <r>
      <rPr>
        <sz val="12"/>
        <color theme="0"/>
        <rFont val="David"/>
      </rPr>
      <t xml:space="preserve"> = </t>
    </r>
  </si>
  <si>
    <t>התייחסות לאגרות חוב הנפדות לשיעורין = כאשר הערך הנקוב נפרע בחלקים</t>
  </si>
  <si>
    <t>הריבית באג״ח היא ריבית נקובה שנתית בשיעור 8% המשולמת כל חצי שנה.</t>
  </si>
  <si>
    <t>שאלות נוספות לתרגול ויישומים (מה שלא נספיק - תוכלו לפתור בבית לתרגל יש פתרון מלא)</t>
  </si>
  <si>
    <t>נגדיר את הפרמטרים לחישוב השווי של ״אג״ח קופון קבוע״ זו (שימו לב שאם אתם רוצים לפתור בטבלה ו-NPV הכנתי לכם גם פתרון בגישה זו בהמשך):</t>
  </si>
  <si>
    <t>שאלה 1 - קלה - חישוב מחיר אג״ח פשוטה (הנפרעת בתשלום אחד) כשכל הנתונים הם שנתיים+פרמיה/נכיון</t>
  </si>
  <si>
    <t>בפרמיה</t>
  </si>
  <si>
    <t>בנכיון</t>
  </si>
  <si>
    <t>בפארי</t>
  </si>
  <si>
    <t>האג״ח בנכיון - השווי שהוא 429.85 נמוך מהערך הנקוב 500, מה שלא מפתיע משום שהריבית הנקובה הרבעונית</t>
  </si>
  <si>
    <t xml:space="preserve">שהאג״ח משלמת (2%) נמוכה מהריבית הנדרשת על ידי המשקיעים (3%). </t>
  </si>
  <si>
    <t>ברירת מחדל: ערך נקוב 100 אם לא נאמר אחרת</t>
  </si>
  <si>
    <t>כאן יש טבלה תזרימית</t>
  </si>
  <si>
    <t>כאשר מרווח הזמן בין תזרימים</t>
  </si>
  <si>
    <t>הוא חצי שנה</t>
  </si>
  <si>
    <t>מוביל תקופת תשלום אחת (חצי שנה) אחורה</t>
  </si>
  <si>
    <t>את שלב ב אפשר ליישם גם עם פונקציית FV:</t>
  </si>
  <si>
    <r>
      <t>כאשר מדובר באג״ח ש</t>
    </r>
    <r>
      <rPr>
        <b/>
        <sz val="12"/>
        <color theme="1"/>
        <rFont val="David"/>
      </rPr>
      <t>נסחרת</t>
    </r>
    <r>
      <rPr>
        <sz val="12"/>
        <color theme="1"/>
        <rFont val="David"/>
      </rPr>
      <t xml:space="preserve"> בתאריך מסויים (לאו דווקא הונפקה היום), במקרים רבים - פרק הזמן שיחלוף</t>
    </r>
  </si>
  <si>
    <t xml:space="preserve">מהתאריך הנתון עד למועד התשלום הקרוב - שונה מפרק הזמן הכללי בין תשלומים. </t>
  </si>
  <si>
    <t>למשל כאן: הזמן בין התאריך הנתון 1.6 עד לתשלום הקרוב 1.9 הוא 3 חודשים, למרות שבאופן כללי התשלומים</t>
  </si>
  <si>
    <t>כל חצי שנה.</t>
  </si>
  <si>
    <t>חישוב ה- NPV לא יוביל לנקודת הזמן הנדרשת, אלא תקופת תשלום אחת אחורה לפני התשלום הקרוב.</t>
  </si>
  <si>
    <t>למשל כאן: התשלום הקרוב ב-1.9, תקופת תשלום (6 חודשים) אחורה - 1.3.</t>
  </si>
  <si>
    <t>את ההתאמה המתבקשת מנקודת הזמן הזו לנקודת הזמן הנדרשת - מבצעים ע״י מכפלה ב-1 ועוד הריבית</t>
  </si>
  <si>
    <t xml:space="preserve">בחזקה מתאימה או FV. </t>
  </si>
  <si>
    <t>המקרה של אג״ח נסחרת שפרק הזמן עד התשלום הקרוב שלה שונה מפרק הזמן הכללי בין תשלומים</t>
  </si>
  <si>
    <r>
      <t xml:space="preserve">שאלה 5 - יותר מורכבת - </t>
    </r>
    <r>
      <rPr>
        <b/>
        <sz val="12"/>
        <color theme="1"/>
        <rFont val="David"/>
      </rPr>
      <t>חישוב שווי אג״ח הנפדית לשיעורין</t>
    </r>
  </si>
  <si>
    <t>סיכום ביניים למפגש כולו:</t>
  </si>
  <si>
    <t xml:space="preserve">התחלנו בדיון בחישובי אג״ח בהדגש ההבדל בין ריבית נקובה ואופן המרתה, לבין שיעור התשואה לפדיון והמרתו. </t>
  </si>
  <si>
    <t>למדנו כיצד להציג תזרימים גם עבור אג״ח שנפרעות בתשלום אחד, וגם עבור אג״ח הנפרעות לשיעורין.</t>
  </si>
  <si>
    <t>הצגנו אג״ח לחלקי תקופה וגם את המקרה של אג״ח נסחרת עם פרק זמן שונה עד למועד תשלומה הראשון.</t>
  </si>
  <si>
    <t>מי שלא אוהב/ת לבצע התאמה ״מתמטית״ יכול/ה להפעיל את פונקציית ה-FV לשם התאמת התוצאה 3 חודשים קדימה:</t>
  </si>
  <si>
    <t>חברת ״ד״ר צבאן״ הנפיקה ב-1.1.2023 אג״ח שערכה הנקוב 100 ש״ח. אגרת החוב תפדה ב-4 תשלומים</t>
  </si>
  <si>
    <t>הפסקה!!!</t>
  </si>
  <si>
    <t>רקע - חילוץ שיעור תשואה לפדיון (נושא חדש)</t>
  </si>
  <si>
    <t>שאלה 3 - חילוץ תשואה לפדיון - מקרה פשוט אש</t>
  </si>
  <si>
    <t>שאלה 5 - חילוץ תשואה לפדיון - אג״ח לשיעורין</t>
  </si>
  <si>
    <t>חברת ״נקניקי הכפר״ הנפיקה ב-1.1.2021 אג״ח שערכה הנקוב 100 ש״ח. האג״ח תפדה בתשלום אחד</t>
  </si>
  <si>
    <t xml:space="preserve">עד כה שיעור התשואה לפדיון המשקף את התשואה הנדרשת מצידם של משקיעי אג״ח היתה נתונה. </t>
  </si>
  <si>
    <t xml:space="preserve">והיא שירתה אותנו בתור ה-rate (הריבית להיוון). </t>
  </si>
  <si>
    <t xml:space="preserve">לעתים, בתור משקיעי אג״ח, נרצה לדעת מהו שיעור התשואה לפדיון - וכדי לדעת זאת, נקבל בדרך כלל גם את </t>
  </si>
  <si>
    <t xml:space="preserve">שווי האג״ח היום וגם את תזרימי המזומנים. </t>
  </si>
  <si>
    <t>כשם שחישוב שווי האג״ח מתבסס על NPV ש״רץ״ על עמודת תזרימי האג״ח,</t>
  </si>
  <si>
    <t xml:space="preserve">קיימת גם פונקצייה ייעודית לחילוץ שיעור התשואה לפדיון באג״ח - IRR. </t>
  </si>
  <si>
    <t>כמו בחישובי מחיר - תמיד מתחילים בהצגת ״לוח״ או ״טבלת״ התזרימים, ומשם עובדים.</t>
  </si>
  <si>
    <t>זכרו: תזרימי המזומנים באג״ח
נקבעים לפי הריבית הנקובה
והערך הנקוב בלבד.
המחיר שאותו מסכים המשקיע
לשלם בעד האג״ח (מחיר האג״ח)
לא משפיע על תזרימים אלו</t>
  </si>
  <si>
    <r>
      <t xml:space="preserve">דרך נוספת - חישוב באמצעות RATE - מתאים </t>
    </r>
    <r>
      <rPr>
        <b/>
        <u/>
        <sz val="12"/>
        <color theme="1"/>
        <rFont val="David"/>
      </rPr>
      <t>רק לאג״ח פשוטות שהקרן בהן נפרעת בתשלום אחד</t>
    </r>
  </si>
  <si>
    <t>זהירות: הערך המחולץ כשיעור תשואה לפדיון באמצעות פונקציית IRR או Rate מניב את ערכה לפרק הזמן בין תשלומים בסדרה.</t>
  </si>
  <si>
    <t>שאלה 4 - חילוץ תשואה לפדיון - כולל התאמות ריבית נקובה ותשואה לפדיון על פני זמן</t>
  </si>
  <si>
    <t>חישובי שווי אג״ח - אג״ח הנפרעות בתשלום אחד</t>
  </si>
  <si>
    <t>אג״ח הנפרעות לשיעורין</t>
  </si>
  <si>
    <t>התאמות תקופה בחישובי אג״ח</t>
  </si>
  <si>
    <t>כל השאלות שלא פתרנו</t>
  </si>
  <si>
    <t>בתוך מערך השיעור</t>
  </si>
  <si>
    <t>ושאלות נוספות</t>
  </si>
  <si>
    <t>לפי הכוונת המתרגלת</t>
  </si>
  <si>
    <t>חישוב שווי אג״ח - סיכום הכללים והתאמה</t>
  </si>
  <si>
    <t>שווי אג״ח לפני ואחרי קופון</t>
  </si>
  <si>
    <t>הבסיס לחישובי תשואה (חילוץ תשואה לפדיון)</t>
  </si>
  <si>
    <t>השאלות בתחתית מערך</t>
  </si>
  <si>
    <t>השיעור ושאלות נוספות</t>
  </si>
  <si>
    <t>רקע ותזכורת - חישוב שיעור תשואה לפדיון:</t>
  </si>
  <si>
    <t>חישוב שיעור התשואה לפדיון - הוא הכלי הטכני שעוזר לנו להבין את שיעור הרווח הממוצע התקופתי (בדרך כלל - שנתי)</t>
  </si>
  <si>
    <t xml:space="preserve">למשקיע/ה באג״ח. </t>
  </si>
  <si>
    <t xml:space="preserve">בהתאם, בחישוב שיעור תשואה לפדיון, נקבל נתונים בדבר מחיר האג״ח וכן תזרימי המזומנים הנובעים ממנה. </t>
  </si>
  <si>
    <t>טכנית: אם אני יודע להציג בטור / בעמודה את מחיר האג״ח בסימן שלילי ואת סדרת התקבולים שהוא משלם למשקיע</t>
  </si>
  <si>
    <t>כל תקופה - אפשר להשתמש ב-IRR כדי להגיע לשיעור תשואה זה.</t>
  </si>
  <si>
    <t>חילוץ שיעור תשואה לפדיון תמיד מוביל לערכו לפרק הזמן בין תשלומים - למשל, אם התשלומים כל רבעון, ה-IRR</t>
  </si>
  <si>
    <t>יניב שיעור תשואה לפדיון רבעוני. ובמקרים רבים - נצטרך לבצע מהלך נוסף של התאמת שיעור התשואה לפדיון לשנה.</t>
  </si>
  <si>
    <t>שאלה 1 - חילוץ תש׳ לפדיון - אג״ח דחוי לשיעורין</t>
  </si>
  <si>
    <t>חברת ״נקניק מפחיד״ הנפיקה ב-1.1.2021 אג״ח אשר ערכה הנקוב 100 ש״ח בתמורה ל-105 ש״ח. האג״ח משלמת</t>
  </si>
  <si>
    <t>חברת ״קוליפורמים צואתיים״ הנפיקה ב-1.1.2021 אגרת חוב שערכה הנקוב 100 ש״ח, ואשר נושאת ריבית שנתית נקובה בשיעור 8%</t>
  </si>
  <si>
    <t>חילוץ נכון של IRR מחייב שמרווח הזמן בין ״שורות״ בטבלה הוא קבוע. כאן זה מתקיים: אנחנו ב-1.4, התשלום</t>
  </si>
  <si>
    <t xml:space="preserve">הקרוב ב-30.6, בעוד רבעון אחד, וכל התזרימים העוקבים הם במרווח של רבעון זה מזה. </t>
  </si>
  <si>
    <t>שאלה 2 - חילוץ תשואה שנתית לפדיון - תקופות חלקיות</t>
  </si>
  <si>
    <t>שאלה 3 - חילוץ תשואה שנתית לפדיון - תקופות חלקיות</t>
  </si>
  <si>
    <t xml:space="preserve">קרי ב-31.12 של כל שנה. האג״ח נפדית בשני תשלומים שנתיים שווים שהראשון שבהם ב-31.12.2025. </t>
  </si>
  <si>
    <t>פדיון קרן 1</t>
  </si>
  <si>
    <t>פדיון קרן 2</t>
  </si>
  <si>
    <t>הבעיה הנוצרת כאן היא שמרחק הזמן בין המועד שבו נמצאים (30/6/2023) לתשלום הקרוב (31/12/2023) = חצי שנה</t>
  </si>
  <si>
    <t>שונה</t>
  </si>
  <si>
    <r>
      <t xml:space="preserve">ממרחק הזמן בין כל שני תזרימים עוקבים בטור זה (כי התזרימים הבאים הם </t>
    </r>
    <r>
      <rPr>
        <b/>
        <sz val="12"/>
        <rFont val="David"/>
      </rPr>
      <t>כל שנה</t>
    </r>
    <r>
      <rPr>
        <sz val="12"/>
        <rFont val="David"/>
      </rPr>
      <t xml:space="preserve">). </t>
    </r>
  </si>
  <si>
    <t xml:space="preserve">אינני יכול להריץ IRR על טור תזרימי שכזה, שמסוגל לעבוד רק על טור עם מרווחי זמן קבועים לכל אורך הדרך. </t>
  </si>
  <si>
    <t xml:space="preserve">הדרך הטכנית להתמודד - להוסיף שורות נוספות שערך תזרימיהן אפס, במרווח המתאים (חצי שנתי). </t>
  </si>
  <si>
    <t>כעת, לאחר הוספת שורות ״0״ אלו, ניתן להפעיל את נוסחת IRR על עמודת סך התזרים:</t>
  </si>
  <si>
    <t>כך קיבלנו את שיעור התשואה לפדיון החצי שנתי:</t>
  </si>
  <si>
    <t>ובמונחים שנתיים:</t>
  </si>
  <si>
    <t>תוספת ערכי ה-0 איננה שינוי באג״ח, בתזרימיו או בעיתויים;</t>
  </si>
  <si>
    <t xml:space="preserve">כל המטרה שלה היא לאפשר מבחינה מכנית, טכנית, טיפול באמצעות פונקציית IRR </t>
  </si>
  <si>
    <t xml:space="preserve">שיאפשר לה לפעול על טור תזרימי שמרווח הזמן בין כל אחד מחלקיו איננו קבוע. </t>
  </si>
  <si>
    <t>שאלה 4 - חילוץ תשואה שנתית לפדיון - תקופות חלקיות - תרגול נוסף אחרי השוק</t>
  </si>
  <si>
    <t>בתאריך 1.10.2019 נסחרת אג״ח שערכה הנקוב 100 ש״ח במחיר של 95 ש״ח.</t>
  </si>
  <si>
    <t>האג״ח משלמת ריבית שנתית נקובה בשיעור 5% בתדירות חצי שנתית, ב-30.6 וב-31.12 של כל שנה.</t>
  </si>
  <si>
    <t>הערך הנקוב של האג״ח ייפרע ב-4 תשלומי קרן שנתיים שווים, ב-31.12.2022, 31.12.2023, 31.12.2024 ו-31.12.2025</t>
  </si>
  <si>
    <t>בהתאמה.</t>
  </si>
  <si>
    <t>שיעור תשואה לפדיון - IRR - לפרק הזמן בין שורות - לרבעון:</t>
  </si>
  <si>
    <t>שיעור תשואה לפדיון במונחים שנתיים - הנדרש:</t>
  </si>
  <si>
    <t>שימו לב, למרות שהתזרימים חצי שנתיים, הרי ביצענו המרה שמובילה לכך שמרווח הזמן בין שורות - ובהתאם</t>
  </si>
  <si>
    <t>התשואה המחולצת - היא רבעונית.</t>
  </si>
  <si>
    <t>שאלה 5 - תשואה לתקופת החזקה - HPR</t>
  </si>
  <si>
    <t>תת נושא / יישום חדש - תשואה לתקופת החזקה - HPR</t>
  </si>
  <si>
    <t xml:space="preserve">רקע: תשואה לתקופת החזקה - Holding Period Return או HPR, היא מדד חשבונאי (יותר מאשר מימוני) שבוחן </t>
  </si>
  <si>
    <t>את הרווחיות התקופתית באחוזים כתוצאה מהשקעה באג״ח - על בסיס היחס הפשוט בין סכום התקבולים לסכום</t>
  </si>
  <si>
    <t>ההשקעה.</t>
  </si>
  <si>
    <t>חברת ״בורקס רקוב״ הנפיקה ב-1.1.2021 אגרת חוב אשר ערכה הנקוב 800 ש״ח. אגרת החוב נושאת ריבית שנתית</t>
  </si>
  <si>
    <t>סך התזרים</t>
  </si>
  <si>
    <t>שיעור תשואה לפדיון - שנתי</t>
  </si>
  <si>
    <t>סעיף ב - תשואה שנתית להחזקה</t>
  </si>
  <si>
    <t xml:space="preserve">עלינו לבחון את סך התקבולים למשקיע בתקופה שבה החזיק את האג״ח אל מול עלות האג״ח. </t>
  </si>
  <si>
    <t xml:space="preserve">נתון: רכש ב-1.1.2021 ב-744 ש״ח, ומכר אותה ב-1.1.2023 ב-760. </t>
  </si>
  <si>
    <t>תמורת מכירה</t>
  </si>
  <si>
    <t>סך התקבולים למשקיע לאורך תקופת ההחזקה (סיכום פשוט):</t>
  </si>
  <si>
    <t>56 + 816 =</t>
  </si>
  <si>
    <t>סך עלות ההשקעה</t>
  </si>
  <si>
    <t xml:space="preserve">הפשוט בין סך התקבולים לעלות האג״ח - פחות אחת. </t>
  </si>
  <si>
    <r>
      <t xml:space="preserve">תשואת ההחזקה HPR לתקופת ההחזקה הכוללת (כאן - </t>
    </r>
    <r>
      <rPr>
        <b/>
        <sz val="12"/>
        <color theme="1"/>
        <rFont val="David"/>
      </rPr>
      <t>שנתיים</t>
    </r>
    <r>
      <rPr>
        <sz val="12"/>
        <color theme="1"/>
        <rFont val="David"/>
      </rPr>
      <t>) תחושב על בסיס היחס</t>
    </r>
  </si>
  <si>
    <t>בכל מקרה שבו תקופת ההחזקה שונה משנה אחת, יש לבצע התאמה של התוצאה לשנה</t>
  </si>
  <si>
    <t>באמצעות מעריך החזקה (נוסחת הריבית האפקטיבית):</t>
  </si>
  <si>
    <t>בבית</t>
  </si>
  <si>
    <t>תרגיל לבית ברוח שאלה 4 מתרגילי מורן</t>
  </si>
  <si>
    <t>א. מק״מ: הגדרות וחישוב מחיר.</t>
  </si>
  <si>
    <t>ב. מק״מ: חישובי תשואה.</t>
  </si>
  <si>
    <r>
      <t xml:space="preserve">ג. דיון עקרוני במושג המח״מ (הנושא לא ייכלל באופן חישובי בבחינה, לכן בפרק </t>
    </r>
    <r>
      <rPr>
        <b/>
        <sz val="12"/>
        <color theme="1"/>
        <rFont val="David"/>
      </rPr>
      <t>ה</t>
    </r>
    <r>
      <rPr>
        <sz val="12"/>
        <color theme="1"/>
        <rFont val="David"/>
      </rPr>
      <t xml:space="preserve"> בקובץ אגח של מורן צריך רק את שאלה 1). </t>
    </r>
  </si>
  <si>
    <t>אז בעצם - בקורס שלנו קיימות אגרות החוב הבאות:</t>
  </si>
  <si>
    <t>אג״ח קופון</t>
  </si>
  <si>
    <t>קבוע</t>
  </si>
  <si>
    <t>אג״ח בפירעון</t>
  </si>
  <si>
    <t>לשיעורין</t>
  </si>
  <si>
    <t>קופון+ערך נקוב</t>
  </si>
  <si>
    <t>כעת</t>
  </si>
  <si>
    <t>מק״מ - מלווה</t>
  </si>
  <si>
    <t>קצר מועד</t>
  </si>
  <si>
    <t>בחלוף שנה</t>
  </si>
  <si>
    <t>מההנפקה</t>
  </si>
  <si>
    <t>אג״ח קונסול</t>
  </si>
  <si>
    <t>לנצח</t>
  </si>
  <si>
    <t xml:space="preserve">חישוב </t>
  </si>
  <si>
    <t>חילוץ</t>
  </si>
  <si>
    <t>תשואה</t>
  </si>
  <si>
    <t>אג״ח קצרה מאד, חישוב לפי ימים</t>
  </si>
  <si>
    <t>מחיר היום</t>
  </si>
  <si>
    <t xml:space="preserve">שנה </t>
  </si>
  <si>
    <t>כל חישובי המק״מ נשענים על RATE ו/או PV בלבד!</t>
  </si>
  <si>
    <t>תמצית תהליך:</t>
  </si>
  <si>
    <t>חישוב מספר הימים עד לפדיון (עם או ללא תוספת 1)</t>
  </si>
  <si>
    <t>ה-nper לפי מס׳ ימים עד פדיון חלקי 365</t>
  </si>
  <si>
    <t>ה-pmt הוא 0</t>
  </si>
  <si>
    <t>ה-FV הוא 100</t>
  </si>
  <si>
    <t>מחלצים rate</t>
  </si>
  <si>
    <t>ה-pv בתור מחיר המק״מ במועד רכישתו בסימן שלילי</t>
  </si>
  <si>
    <t>פרק הזמן עד לפדיון בימים מחולק ב-365</t>
  </si>
  <si>
    <t>הערך המחולץ, מחיר המק״מ היום, הנדרש</t>
  </si>
  <si>
    <t>במק״מ אין קופונים / תזרימים קבועים</t>
  </si>
  <si>
    <t>ערך נקוב כברירת מחדל שמשולם בפירעון</t>
  </si>
  <si>
    <t xml:space="preserve">נסחרת בישראל, אבל אפשר לבנות אותה באופן סינתטי. בכל מקרה, אנו נציג את החישוב העקרוני. </t>
  </si>
  <si>
    <t>שיעור תשואה לפדיון - לפרק הזמן בין תזרימים</t>
  </si>
  <si>
    <r>
      <t>הערך הנוכחי של סדרה אינסופית ניתן לחישוב על ידי חלוקת סכום התזרים התקופתי (</t>
    </r>
    <r>
      <rPr>
        <b/>
        <u/>
        <sz val="12"/>
        <color theme="1"/>
        <rFont val="David"/>
      </rPr>
      <t>הקופון</t>
    </r>
    <r>
      <rPr>
        <sz val="12"/>
        <color theme="1"/>
        <rFont val="David"/>
      </rPr>
      <t>) ב</t>
    </r>
    <r>
      <rPr>
        <b/>
        <u/>
        <sz val="12"/>
        <color theme="1"/>
        <rFont val="David"/>
      </rPr>
      <t>שיעור התשואה</t>
    </r>
  </si>
  <si>
    <t>עידן מעוניין להשקיע באג״ח של חברת ״נקניקים חמים״ בע״מ.</t>
  </si>
  <si>
    <t>האג״ח היא מסוג קונסול (צמיתה / לאינסוף), והיא נושאת ריבית שנתית נקובה בשיעור 7%, המשולמת אחת לשנה.</t>
  </si>
  <si>
    <t xml:space="preserve">שיעור התשואה לפדיון באג״ח הוא 5%. </t>
  </si>
  <si>
    <t>מהו המחיר המירבי שאותו יסכים עידן לשלם בעד האג״ח?</t>
  </si>
  <si>
    <t>שיטה א - מחשבון פיננסי / אקסל</t>
  </si>
  <si>
    <t>שיטה ב - נוסחה</t>
  </si>
  <si>
    <t>הנוסחה דורשת את הפרופורציה בין סכום</t>
  </si>
  <si>
    <t>הקופון התקופתי לשיעור התשואה לפדיון.</t>
  </si>
  <si>
    <t>מספר התשלומים ״קירוב״</t>
  </si>
  <si>
    <t>תדירות תשלום הריבית בכל אג״ח היא אחת לשנה, קרן כל אחת מאגרות החוב נפרעת בתשלום אחד במועד סיום חיי האג״ח.</t>
  </si>
  <si>
    <t>ריבית להיוון</t>
  </si>
  <si>
    <t>ארוכה</t>
  </si>
  <si>
    <t>קצרה</t>
  </si>
  <si>
    <t>סיכום הקשרים:</t>
  </si>
  <si>
    <t>א. ככל ששיעור התשואה לפדיון / תשואה אלטרנטיבית / ריבית להיוון - גבוהה יותר, מחיר האג״ח:</t>
  </si>
  <si>
    <t>נמוך יותר</t>
  </si>
  <si>
    <t>ב. ככל ששיעור התשואה לפדיון / תשואה אלטרנטיבית / ריבית להיוון - נמוכה יותר, מחיר האג״ח:</t>
  </si>
  <si>
    <t>גבוהה יותר</t>
  </si>
  <si>
    <t>ג. ככל שהאג״ח היא לפרק זמן ממושך (ארוך יותר):</t>
  </si>
  <si>
    <t>עלייה בתשואה האלטרנטיבית תקטין את מחיר האג״ח במידה משמעותית יותר</t>
  </si>
  <si>
    <t>ירידה בתשואה האלטרנטיבית מגדילה את מחיר האג״ח במידה משמעותית יותר</t>
  </si>
  <si>
    <t xml:space="preserve">ככל שהאג״ח ארוכה יותר - </t>
  </si>
  <si>
    <t>מחירה מושפע בצורה חזקה</t>
  </si>
  <si>
    <t>יותר משינויי ריבית,</t>
  </si>
  <si>
    <t>קרי מחירה רגיש יותר</t>
  </si>
  <si>
    <t>לריבית</t>
  </si>
  <si>
    <t>ואיך כל זה קשור למושג המח״מ?</t>
  </si>
  <si>
    <t xml:space="preserve">מח״מ = משך חיים ממוצע של אג״ח. אגרות חוב משלמות למשקיע תשלומים רבים; </t>
  </si>
  <si>
    <t xml:space="preserve">ולכן צריך לדעת לא רק מתי הן נפדות סופית, אלא מתי משולם בהן ״כל חלק״. </t>
  </si>
  <si>
    <t xml:space="preserve">אם למשל אג״ח משלמת חצי מהכסף עוד חצי שנה, וחצי מהכסף עוד שנה, המח״מ בערך 0.75. </t>
  </si>
  <si>
    <t>אפשר להוכיח שמח״מ (נתון שמפורסם בבורסה) הוא למעשה שיעור השינוי בשווי האג״ח</t>
  </si>
  <si>
    <t xml:space="preserve">כתוצאה משינוי של 1% בריבית. </t>
  </si>
  <si>
    <t>המחשה:</t>
  </si>
  <si>
    <t xml:space="preserve">נניח שאג״ח הוא בעל מח״מ נתון של 4.3 שנים (לא צריך לדעת לחשב את המח״מ עצמו אצלנו), </t>
  </si>
  <si>
    <t>ומחירו היום 88 ש״ח.</t>
  </si>
  <si>
    <t>מה יהיה המחיר העדכני של האג״ח אם הריבית תעלה ב-1%?</t>
  </si>
  <si>
    <t xml:space="preserve">אם הריבית עולה ב-1%, המחיר ירד ב-1% כפול המח״מ: </t>
  </si>
  <si>
    <t>מחיר לפני עליית ריבית:</t>
  </si>
  <si>
    <t>מחיר לאחר עליית ריבית (בניכוי 4.3%):</t>
  </si>
  <si>
    <t>וכיצד ישתנה מחיר אג״ח שהוא בעל מח״מ של 9.2 שנים ומחירו היום 88 בעקבות עליית ריבית ב-1%?</t>
  </si>
  <si>
    <t>מחיר לאחר עליית ריבית (בניכוי 9.2%):</t>
  </si>
  <si>
    <t>המחשה 2:</t>
  </si>
  <si>
    <t>מה יהיה (בקירוב ועל פי הנלמד) מחיר האג״ח העדכני אם הריבית תרד ב-0.5%?</t>
  </si>
  <si>
    <t>אם הריבית יורדת ב-0.5%, המחיר עולה ב-0.5% כפול המח״מ:</t>
  </si>
  <si>
    <t xml:space="preserve">0.5% * 8.8 = </t>
  </si>
  <si>
    <t>נניח שדניאל קנה אג״ח של חברת נקניקי האל בעלת מח״מ של 8.8 שנים במחיר של 94 ש״ח.</t>
  </si>
  <si>
    <t>מחיר האג״ח לפני ירידת ריבית</t>
  </si>
  <si>
    <t>מחיר האג״ח לאחר ירידת ריבית</t>
  </si>
  <si>
    <t xml:space="preserve">94 * (1 + 4.4%) = </t>
  </si>
  <si>
    <t xml:space="preserve">שיעורי בית לאחר שיעור 4 - עם פתרונות מלאים המופיעים לאחר השאלה האחרונה </t>
  </si>
  <si>
    <t>שאלה 2 - מק״מ - חישוב שיעור תשואה שנתי</t>
  </si>
  <si>
    <t>שאלה 3 - מק״מ - חילוץ שיעור תשואה לפדיון</t>
  </si>
  <si>
    <t>שאלה 4 - מק״מ - חישוב מחיר</t>
  </si>
  <si>
    <t>שאלה 5 - אג״ח צמיתה - קונסול - חישוב פשוט</t>
  </si>
  <si>
    <t>שאלה 6 - אם תוכיחו ידע תצאו להפסקה, אם לא תאכלו נקניקיה</t>
  </si>
  <si>
    <t>שאלה 7 - משך חיי אג״ח ורגישות לשינויים בריבית - המשמעות העקרונית של מח״מ</t>
  </si>
  <si>
    <t>שאלה 8 - שאלת מח״מ סטייל בחינה</t>
  </si>
  <si>
    <t>שאלה 9 - שאלת מח״מ נוספת</t>
  </si>
  <si>
    <t>שאלה 10 - אג״ח צמיתה / קונסול</t>
  </si>
  <si>
    <t>שאלה 11 - אג״ח לשיעורין, חילוץ תשואה שנתית לפדיון עם התאמת תקופה</t>
  </si>
  <si>
    <t>שאלה 12 - אג״ח לשיעורין, חישוב מחיר עם תאריכים</t>
  </si>
  <si>
    <t>שאלה 13 - חישוב מחיר ו - HPR באג״ח ״פשוטה״ (חומר של השיעור הקודם! אבל תמיד טוב לחזק)</t>
  </si>
  <si>
    <t>שאלה 14 - מק״מ - חישוב מחיר</t>
  </si>
  <si>
    <t>חישוב שווי אג״ח כולל התאמות זמן</t>
  </si>
  <si>
    <t>חישוב והתאמת שיעור תשואה לפדיון</t>
  </si>
  <si>
    <t xml:space="preserve">במקרים שבהם פרק הזמן עד התשלום </t>
  </si>
  <si>
    <t>הקרוב שונה</t>
  </si>
  <si>
    <t>מק״מ, אג״ח קונסול והמשמעות של מח״מ</t>
  </si>
  <si>
    <t>אג״ח צמודה</t>
  </si>
  <si>
    <t>כאשר אני נתקל במכשיר פיננסי (כגון אג״ח) הצמוד/ה למדד, תהליך העבודה המתבקש יכלול הצגה / אפיון</t>
  </si>
  <si>
    <t xml:space="preserve">של תזרימי האג״ח ״בהתעלם מהצמדה״ ולאחר מכן, התייחסות להצמדה כתוספת / שינוי רלוונטי במחיר. </t>
  </si>
  <si>
    <t>שיעור תשואה ריאלי</t>
  </si>
  <si>
    <t>בקצרה: אם אנו יודעים מהם תזרימי האג״ח הריאליים (לפני הצמדה) ומהו שיעור התשואה הריאלי,</t>
  </si>
  <si>
    <t>ניתן להשתמש בנתונים אלו כדי לחשב את מחיר האג״ח (ריאלי) לפני הצמדה.</t>
  </si>
  <si>
    <t xml:space="preserve">שווי ריאלי תמיד משקף את ערך הנכס במונחי ״מדד הבסיס״ כלומר, כמה הנכס היה אמור להיות </t>
  </si>
  <si>
    <t>שווה אם לא היתה אינפלציה, ולשם כך - מתבססים על תזרים ריאלי (לפני הצמדה) ועל ריבית ריאלית.</t>
  </si>
  <si>
    <t>אם נרצה לחשב את שווי הנכס במונחים כספיים (נומינליים) נצטרך להצמיד את התוצאה - כך</t>
  </si>
  <si>
    <t>שנתחשב באינפלציה. אבל את זה נעשה בשלב הבא.</t>
  </si>
  <si>
    <t xml:space="preserve">שווי האג״ח הריאלי לפי </t>
  </si>
  <si>
    <t>שלב 2: חשבו את מחיר האג״ח היום, לאחר הצמדה (שער האג״ח בבורסה / נומינלי / מחיר האג״ח תכל׳ס)</t>
  </si>
  <si>
    <t>שווי ריאלי</t>
  </si>
  <si>
    <t>לפני התייחסות</t>
  </si>
  <si>
    <t>להשפעת ההצמדה על הערך</t>
  </si>
  <si>
    <t>היחס בין המדד</t>
  </si>
  <si>
    <t>העדכני במועד החישוב</t>
  </si>
  <si>
    <t>שהוא 112 כנתון</t>
  </si>
  <si>
    <t>למדד הבסיס במועד</t>
  </si>
  <si>
    <t>הנפקת האג״ח שהוא 106 כנתון</t>
  </si>
  <si>
    <t>שלבי עבודה:</t>
  </si>
  <si>
    <t xml:space="preserve">א. הצג את תזרימי המזומנים ה״ריאליים״ (לפני הצמדה) על בסיס הערך הנקוב והריבית הנקובה. </t>
  </si>
  <si>
    <t xml:space="preserve">ב. חשב את שווי האג״ח הריאלי (לפני הצמדה) על בסיס ה-NPV של התזרימים הריאליים והתשואה (ריאלית).  </t>
  </si>
  <si>
    <t>ג. הצמידו את שווי האג״ח הריאלי למדד: ע״י מכפלה ב-1 ועוד מדד עדכני חלקי מדד בסיס.</t>
  </si>
  <si>
    <t>ע״נ</t>
  </si>
  <si>
    <t>ברירות מחדל:</t>
  </si>
  <si>
    <t>האג״ח נפרעת בתשלום אחד בסוף</t>
  </si>
  <si>
    <t>ערך נקוב 100</t>
  </si>
  <si>
    <t>npv</t>
  </si>
  <si>
    <t>מחיר ריאלי</t>
  </si>
  <si>
    <t>מחיר נומינלי / כולל</t>
  </si>
  <si>
    <t xml:space="preserve">מהי התשואה השנתית לפדיון היום (במונחים ריאליים)? </t>
  </si>
  <si>
    <t>להסבר מלא בדבר</t>
  </si>
  <si>
    <t>הערך הזה ואופן חישובו ראו למטה</t>
  </si>
  <si>
    <t>ריאלי</t>
  </si>
  <si>
    <t>חילוץ שיעור תשואה ריאלי ע״ב תזרים ריאלי</t>
  </si>
  <si>
    <t>שווי האג״ח תכל׳ס (נומינלי) בבורסה</t>
  </si>
  <si>
    <t>פתרון מורחב וסופר מפורט למעוניינים:</t>
  </si>
  <si>
    <t>שיעור תשואה לפדיון:</t>
  </si>
  <si>
    <t>שאלה 5 - אג״ח צמודות לדולר ללא התאמות זמן - לבית</t>
  </si>
  <si>
    <t>קליל לבית</t>
  </si>
  <si>
    <t>שלב 1: NPV רגיל לכל התזרימים.</t>
  </si>
  <si>
    <t>התוצאה נכונה ל-31/12/2010.</t>
  </si>
  <si>
    <t>שלב 2: התאמת התוצאה מ-31/12/2010</t>
  </si>
  <si>
    <t>ל-07/07/2011.</t>
  </si>
  <si>
    <t>מספר הימים:</t>
  </si>
  <si>
    <t>89.85*(1+5%)^(189/365) = 92.15</t>
  </si>
  <si>
    <t>שווי ריאלי אג״ח: 92.15</t>
  </si>
  <si>
    <t>כופלים ביחס בין דולר עדכני לדולר בסיס</t>
  </si>
  <si>
    <t>ומקבלים את שער האג״ח / מחיר האג״ח:</t>
  </si>
  <si>
    <t xml:space="preserve">92.15 * 4.12 / 4.01 = </t>
  </si>
  <si>
    <t>עלינו להבחין באופן מהותי בין שני סוגי שאלות:</t>
  </si>
  <si>
    <t xml:space="preserve">סוג 1: חישוב מחיר כולל / שער של אג״ח צמודה - </t>
  </si>
  <si>
    <t>להציג תזרימים ריאליים;</t>
  </si>
  <si>
    <t>לחשב שווי ריאלי;</t>
  </si>
  <si>
    <r>
      <t xml:space="preserve">ואז להצמדי את השווי הריאלי - ולשם כך, לכפול במדד </t>
    </r>
    <r>
      <rPr>
        <b/>
        <sz val="12"/>
        <color theme="1"/>
        <rFont val="David"/>
      </rPr>
      <t>עדכני</t>
    </r>
    <r>
      <rPr>
        <sz val="12"/>
        <color theme="1"/>
        <rFont val="David"/>
      </rPr>
      <t xml:space="preserve"> חלקי מדד </t>
    </r>
    <r>
      <rPr>
        <b/>
        <sz val="12"/>
        <color theme="1"/>
        <rFont val="David"/>
      </rPr>
      <t>בסיס</t>
    </r>
    <r>
      <rPr>
        <sz val="12"/>
        <color theme="1"/>
        <rFont val="David"/>
      </rPr>
      <t xml:space="preserve">. </t>
    </r>
  </si>
  <si>
    <t>הדגמה לכך (לחישובי מחיר) ביצענו בשאלות הראשונות היום.</t>
  </si>
  <si>
    <r>
      <t xml:space="preserve">סוג 2: חילוץ שיעור התשואה המגולם באג״ח - ובמקרה כזה השער </t>
    </r>
    <r>
      <rPr>
        <u/>
        <sz val="12"/>
        <color theme="1"/>
        <rFont val="David"/>
      </rPr>
      <t>הנומינלי</t>
    </r>
    <r>
      <rPr>
        <sz val="12"/>
        <color theme="1"/>
        <rFont val="David"/>
      </rPr>
      <t xml:space="preserve"> כבר נתון.</t>
    </r>
  </si>
  <si>
    <t>להציג תזרימים ריאליים</t>
  </si>
  <si>
    <r>
      <t xml:space="preserve">לתרגם את השער הנומינלי לריאלי - ולשם כך לכפול את השער הנומינלי במדד </t>
    </r>
    <r>
      <rPr>
        <b/>
        <sz val="12"/>
        <color theme="1"/>
        <rFont val="David"/>
      </rPr>
      <t>בסיס</t>
    </r>
    <r>
      <rPr>
        <sz val="12"/>
        <color theme="1"/>
        <rFont val="David"/>
      </rPr>
      <t xml:space="preserve"> חלקי מדד </t>
    </r>
    <r>
      <rPr>
        <b/>
        <sz val="12"/>
        <color theme="1"/>
        <rFont val="David"/>
      </rPr>
      <t xml:space="preserve">עדכני. </t>
    </r>
  </si>
  <si>
    <t xml:space="preserve">ואז מחלצים את שיעור התשואה. </t>
  </si>
  <si>
    <t xml:space="preserve">הדגמה לכך ביצענו בשאלות האחרונות על המדד היום. </t>
  </si>
  <si>
    <t>תמצית תהליך עבודה:</t>
  </si>
  <si>
    <t>הציגו את לוח התזרימים הריאליים.</t>
  </si>
  <si>
    <t>חשבו NPV לתזרימים הריאליים. בדקו ״לאן הגעתם״.</t>
  </si>
  <si>
    <t>בצעו התאמה מהתאריך אליו הגעתם לתאריך הנדון.</t>
  </si>
  <si>
    <t xml:space="preserve">בצעו התאמה של השווי הריאלי לתאריך הנדון - </t>
  </si>
  <si>
    <t>לשער הדולר (מכפלה בשער הדולר העדכני וחלוקה בשער</t>
  </si>
  <si>
    <t xml:space="preserve">הדולר הבסיסי). </t>
  </si>
  <si>
    <t>שלב 3 לחישוב שווי סופי: שווי ריאלי (בכתום) מוכפל</t>
  </si>
  <si>
    <t>ביחס בין שער דולר עדכני לבין שער דולר בסיסי</t>
  </si>
  <si>
    <t>סופית:</t>
  </si>
  <si>
    <t>לעיל הוצג התהליך המתבסס על נוסחאות אקסל בצורה הכי מהירה וזריזה.</t>
  </si>
  <si>
    <t>אם לא ברור - ראו תהליך מפורט, הדרגתי, עם מלל חופר - למטה:</t>
  </si>
  <si>
    <t>של 55 אגורות למניה בשנה הבאה.  הדיבידנד צמח בשנים האחרונות בשיעור של 10% לשנה והוא צפוי להמשיך לצמוח</t>
  </si>
  <si>
    <t>כאשר הדיבידנד העתידי הקרוב ביותר הוא בעוד תקופה שלמה, ושיעור צמיחתו השנתי קבוע, ניתן לחשב את מחיר המניה</t>
  </si>
  <si>
    <t>בתור ערך נוכחי של סדרה צומחת כדלקמן:</t>
  </si>
  <si>
    <t>מחיר המניה Price of Share</t>
  </si>
  <si>
    <t>ההפרש בין שיעור</t>
  </si>
  <si>
    <t>התשואה הנדרש ע״י</t>
  </si>
  <si>
    <t>בעלי המניות r</t>
  </si>
  <si>
    <t>לשיעור הצמיחה השנתי g</t>
  </si>
  <si>
    <t>התשואה הנדרשת r=15%</t>
  </si>
  <si>
    <t>שיעור צמיחה g=10%</t>
  </si>
  <si>
    <r>
      <t xml:space="preserve">אצלנו </t>
    </r>
    <r>
      <rPr>
        <u/>
        <sz val="12"/>
        <color theme="1"/>
        <rFont val="David"/>
      </rPr>
      <t>כנתון</t>
    </r>
    <r>
      <rPr>
        <sz val="12"/>
        <color theme="1"/>
        <rFont val="David"/>
      </rPr>
      <t>: Div = 55 אג׳</t>
    </r>
  </si>
  <si>
    <t xml:space="preserve">התזרים ״אתמול״ שערכו נתון בשאלה - לא רלוונטי, וערכו 0.5 ש״ח (50 אג׳) - תזרימים היסטוריים אינם חלק מהמחיר היום. </t>
  </si>
  <si>
    <t xml:space="preserve">תשואת הדיבידנד משקפת את שיעור הרווח (תשואה) התקופתי (השנתי) שנובע מהדיבידנד, ביחס למחיר המניה. </t>
  </si>
  <si>
    <r>
      <t xml:space="preserve">הדיבידנד </t>
    </r>
    <r>
      <rPr>
        <b/>
        <sz val="12"/>
        <color theme="1"/>
        <rFont val="David"/>
      </rPr>
      <t>העתידי</t>
    </r>
    <r>
      <rPr>
        <sz val="12"/>
        <color theme="1"/>
        <rFont val="David"/>
      </rPr>
      <t xml:space="preserve"> הקרוב. </t>
    </r>
  </si>
  <si>
    <r>
      <t xml:space="preserve">הרווח למניה בשנה </t>
    </r>
    <r>
      <rPr>
        <b/>
        <sz val="12"/>
        <color theme="1"/>
        <rFont val="David"/>
      </rPr>
      <t>שחלפה</t>
    </r>
    <r>
      <rPr>
        <sz val="12"/>
        <color theme="1"/>
        <rFont val="David"/>
      </rPr>
      <t xml:space="preserve"> אשר נתון בסכום של 2.5 ש״ח למניה - יחס </t>
    </r>
    <r>
      <rPr>
        <b/>
        <sz val="12"/>
        <color theme="1"/>
        <rFont val="David"/>
      </rPr>
      <t>חשבונאי</t>
    </r>
    <r>
      <rPr>
        <sz val="12"/>
        <color theme="1"/>
        <rFont val="David"/>
      </rPr>
      <t xml:space="preserve"> המתבסס על מידע היסטורי. </t>
    </r>
  </si>
  <si>
    <t>&gt;&gt;&gt;&gt;&gt;&gt;&gt;&gt;&gt;&gt;&gt;&gt;&gt; g = 4% &gt;&gt;&gt;&gt;&gt;&gt;&gt;</t>
  </si>
  <si>
    <t>נוסחה 2 (בהתאם למספור הנוסחאות שריכזתי למענכם לעיל) מסייעת לחילוץ תשואה נדרשת ע״י משקיעים</t>
  </si>
  <si>
    <t>אם מחיר המניה נתון, שיעור הצמיחה קבוע, והדיבידנד הקרוב בעוד שנה:</t>
  </si>
  <si>
    <t>זכרו:</t>
  </si>
  <si>
    <t>שיעור תשואה הנדרש על ידי</t>
  </si>
  <si>
    <t>המשקיעים, ריבית להיוון</t>
  </si>
  <si>
    <t>מאד מזכיר את שיעור התשואה</t>
  </si>
  <si>
    <t>לפדיון באג״ח</t>
  </si>
  <si>
    <t xml:space="preserve">שיעור צמיחת הדיבידנד - </t>
  </si>
  <si>
    <t>בכמה תזרים המזומנים</t>
  </si>
  <si>
    <t>השנתי גדל / קטן כל שנה</t>
  </si>
  <si>
    <r>
      <t xml:space="preserve">המניות ידוע, מכפלת </t>
    </r>
    <r>
      <rPr>
        <b/>
        <sz val="12"/>
        <color theme="1"/>
        <rFont val="David"/>
      </rPr>
      <t>מספר המניות</t>
    </r>
    <r>
      <rPr>
        <sz val="12"/>
        <color theme="1"/>
        <rFont val="David"/>
      </rPr>
      <t xml:space="preserve"> </t>
    </r>
    <r>
      <rPr>
        <b/>
        <sz val="12"/>
        <color theme="1"/>
        <rFont val="David"/>
      </rPr>
      <t>בשווי מניה</t>
    </r>
    <r>
      <rPr>
        <sz val="12"/>
        <color theme="1"/>
        <rFont val="David"/>
      </rPr>
      <t xml:space="preserve"> תניב את שווי השוק כאמור.</t>
    </r>
  </si>
  <si>
    <t>חולק זה מכבר</t>
  </si>
  <si>
    <t>&gt;&gt;&gt;&gt;&gt;&gt;&gt;&gt; g = 3% &gt;&gt;&gt;&gt;&gt;&gt;&gt;&gt;&gt;&gt;</t>
  </si>
  <si>
    <t>מה עשינו פה?</t>
  </si>
  <si>
    <t xml:space="preserve">רצינו את הדיבידנד העתידי - </t>
  </si>
  <si>
    <t>שהוא חלק מנוסחת חישוב המחיר</t>
  </si>
  <si>
    <t>ולשם כך התבססנו על דיבידנד</t>
  </si>
  <si>
    <t>היסטורי נתון, כפול 1 ועוד צמיחה</t>
  </si>
  <si>
    <t>הדיבידנד העתידי הוצב בנוסחת</t>
  </si>
  <si>
    <t>חישוב מחיר המניה, כדי לחלץ</t>
  </si>
  <si>
    <t>את התשואה הנדרשת.</t>
  </si>
  <si>
    <t>האיור מדגיש שגם חישוב כזה</t>
  </si>
  <si>
    <t>תמיד מקפיץ ״אחת אחורה״</t>
  </si>
  <si>
    <t>מהמשוואה הנוצרת אפשר לחלץ</t>
  </si>
  <si>
    <t>את שיעור התשואה הנדרש.</t>
  </si>
  <si>
    <t>בהינתן שיעור הצמיחה המשתנה</t>
  </si>
  <si>
    <t>מחיר המניה נובע מה-NPV</t>
  </si>
  <si>
    <t>שמביא בחשבון את כל התזרימים</t>
  </si>
  <si>
    <t xml:space="preserve">לפני שהצמיחה מתקבעת </t>
  </si>
  <si>
    <t>כאשר לתזרים ה״אחרון״ נוסיף</t>
  </si>
  <si>
    <t>את הערך הנוכחי של הסדרה</t>
  </si>
  <si>
    <t>שבה הסדרה קבועה.</t>
  </si>
  <si>
    <t>שאלה 5.1 - תרגול נוסף של שיעור צמיחה משתנה</t>
  </si>
  <si>
    <t xml:space="preserve">דוביק מעוניין לרכוש מניה של חברת ״מחממי הנקניק״ בע״מ. </t>
  </si>
  <si>
    <t xml:space="preserve">המניה צפויה לשלם דיבידנד בסכום של 80 ש״ח בעוד שנה, 90 ש״ח בעוד שנתיים, 180 ש״ח בעוד 3 שנים ו-250 ש״ח </t>
  </si>
  <si>
    <t>בעוד 4 שנים. החל מהשנה ה-5, צפוי שיעור צמיחת הדיבידנד להתייצב על 5% לשנה.</t>
  </si>
  <si>
    <t>בנתונים אלו, מהו המחיר המירבי שיסכים דוביק לשלם בעד המניה היום?</t>
  </si>
  <si>
    <t>&gt;&gt;&gt;&gt; g = 5% &gt;&gt;&gt;&gt;</t>
  </si>
  <si>
    <t>NPV = Ps(0)=</t>
  </si>
  <si>
    <t>המחיר המירבי שדוביק יסכים לשלם היוםב עד המניה הוא:</t>
  </si>
  <si>
    <t>לבית - חישוב דיבידנד כשהתזרים בתחילת תקופה עם התאמה</t>
  </si>
  <si>
    <t>משקף את הפער (הערך המוסף) ממצב שבו החברה</t>
  </si>
  <si>
    <t>מבצעת השקעות ולא מחלקת את כל הרווחים כדיבידנד</t>
  </si>
  <si>
    <t>היום נתון</t>
  </si>
  <si>
    <t>בהנחת צמיחה</t>
  </si>
  <si>
    <t>מחיר המניה התיאורטי</t>
  </si>
  <si>
    <t>אם החברה לא משקיעה</t>
  </si>
  <si>
    <t>ולא צומחת</t>
  </si>
  <si>
    <t>ואז מחלקת את כל הרווח למניה (14 ש״ח)</t>
  </si>
  <si>
    <t>כדיבידנד (לכן זה המונה)</t>
  </si>
  <si>
    <t>ואין צמיחה ולכן במכנה יש רק r ולא r-g</t>
  </si>
  <si>
    <t>בזכות</t>
  </si>
  <si>
    <t>השקעות</t>
  </si>
  <si>
    <t>החברה</t>
  </si>
  <si>
    <t>מחיר מניתה</t>
  </si>
  <si>
    <t>גבוה ב-6.67</t>
  </si>
  <si>
    <t xml:space="preserve">ש״ח </t>
  </si>
  <si>
    <t>בהשוואה</t>
  </si>
  <si>
    <t>למצב שבו לא היתה משקיעה</t>
  </si>
  <si>
    <t>פתרנו בכיתה</t>
  </si>
  <si>
    <t>בוצע בכיתה</t>
  </si>
  <si>
    <t>שאלה 7.1 - חישוב שווי מניה והתאמות זמן</t>
  </si>
  <si>
    <t xml:space="preserve">כל מה שלא עברנו עליו </t>
  </si>
  <si>
    <t>במחברת</t>
  </si>
  <si>
    <t>ומה שהמתרגלת אומרת</t>
  </si>
  <si>
    <t>תמחור מניות</t>
  </si>
  <si>
    <t>התאמות זמן</t>
  </si>
  <si>
    <t>מכפיל רווח היסטורי ועתידי</t>
  </si>
  <si>
    <t>חילוצים ו-PVGO</t>
  </si>
  <si>
    <t>בלשונית ״6״ יש המון</t>
  </si>
  <si>
    <t>תרגילים שלא עברנו</t>
  </si>
  <si>
    <t>עליהם, ובתחתית יש</t>
  </si>
  <si>
    <t>המון תרגילים עם פתרונות</t>
  </si>
  <si>
    <t>מלאים. פתרו כמה שיותר</t>
  </si>
  <si>
    <t>בקיצור:</t>
  </si>
  <si>
    <t xml:space="preserve">בגישת המכפיל: שווי מניה הוא הרווח למניה כפול המכפיל. </t>
  </si>
  <si>
    <t xml:space="preserve">אם המכפיל לא ידוע - ניתן להתבסס על ממוצע מכפילים בחברות מקבילות. </t>
  </si>
  <si>
    <t>בקיצור נמרץ:</t>
  </si>
  <si>
    <t xml:space="preserve">מחשבים את סך צמיחת הרווח למניה EPS לכל התקופה (EPS עדכני חלקי EPS התחלתי פחות אחת). </t>
  </si>
  <si>
    <t xml:space="preserve">מתקננים אותו (עם חזקה מתאימה) לשנה אחת. זהו האומדן לערכו של g. </t>
  </si>
  <si>
    <t>את הדיבידנד של השנה הבאה, שהוא הבסיס לחישוב המחיר, נחשב לפי ה-EPS לאחר צמיחה, מוכפל בשיעור חלוקת הדיבידנד.</t>
  </si>
  <si>
    <t>מחיר המניה בהנחה שיש צמיחה (בעקבות ההשקעות, שכן רק 80% מחולק כדיבידנד), כרגע, חושב בסעיף א</t>
  </si>
  <si>
    <t>כי אם אין צמיחה: g=0</t>
  </si>
  <si>
    <t>והדיבידנד הוא כל ה-EPS</t>
  </si>
  <si>
    <t>שאלה 6.1 - חישוב נוסף של PVGO</t>
  </si>
  <si>
    <t>חברת דוביק הציגה את ערכי ה-EPS הבאים בשנים האחרונות:</t>
  </si>
  <si>
    <t>בנוסף ידוע שהחברה מאמצת מדיניות של חלוקת 60% מה-EPS (מהרווח למניה) כדיבידנד.</t>
  </si>
  <si>
    <t xml:space="preserve">כמו כן, שיעור הצמיחה העתידי הצפוי נאמד בתור ממוצע שיעורי הצמיחה של השנים הנתונות בטבלה (ממוצע גיאומטרי). </t>
  </si>
  <si>
    <t>נדרש: מה ה -PVGO בהנחה שידוע שאם החברה תחליט לחלק בהמשך את כל רווחיה כדיבידנד, הרווח למניה יתקבע</t>
  </si>
  <si>
    <t xml:space="preserve">על ערך מייצג של 173 ש״ח (את מחיר המניה יש לחשב ל-31.12.2023 / 1.1.2024). </t>
  </si>
  <si>
    <t>א. חשבו את שיעור הצמיחה הכולל לכל 4 השנים.</t>
  </si>
  <si>
    <t>ב. מצעו אותו (עם חזקה) לשנה אחת. זה g.</t>
  </si>
  <si>
    <t>ג. חשבו את הדיבידנד לשנה הבאה על בסיסו.</t>
  </si>
  <si>
    <t xml:space="preserve">ד. תמחרו את המניה. </t>
  </si>
  <si>
    <t xml:space="preserve">שיעור תשואה נדרש על ידי בעלי המניות: 20%. </t>
  </si>
  <si>
    <t>ה. חשבו את מחיר המניה התיאורטי ללא צמיחה,</t>
  </si>
  <si>
    <t>בהתאם לרווח למניה המייצג ושיעור התשואה</t>
  </si>
  <si>
    <t xml:space="preserve">הנדרש. </t>
  </si>
  <si>
    <t>ו. ההפרש בין מחיר המניה תכל׳ס להיום (ד)</t>
  </si>
  <si>
    <t>לבין מחיר המניה התיאורטי ללא צמיחה (ה)</t>
  </si>
  <si>
    <t xml:space="preserve">הוא ה-PVGO. </t>
  </si>
  <si>
    <t>חישוב שיעור צמיחה לכל 4 השנים:</t>
  </si>
  <si>
    <t>חילוץ שיעור צמיחה לשנה אחת:</t>
  </si>
  <si>
    <t>חישוב הדיבידנד לשנה הבאה:</t>
  </si>
  <si>
    <t>חישוב שווי המניה בהתאם לנתונים:</t>
  </si>
  <si>
    <t>חישוב שווי המניה ללא צמיחה בהתאם לנתונים:</t>
  </si>
  <si>
    <t>חישוב ה-PVGO לפי ההפרש בין שווי המניה לבין שוויה ללא צמיחה:</t>
  </si>
  <si>
    <t xml:space="preserve">לפי רווח למניה היסטורי 2023, בתוספת צמיחה לשנה אחת, </t>
  </si>
  <si>
    <t>בהתאם לשיעור מתוכו שמחולק כדיבידנד (60% - נתון)</t>
  </si>
  <si>
    <t>Yearly 
Dividend</t>
  </si>
  <si>
    <t>נושא אחרון בקורס - מחיר ההון של החברה</t>
  </si>
  <si>
    <t>נוסחה (1) - מחיר ההון העצמי - נוסחת מודל תמחור נכסי הון - CAPM:</t>
  </si>
  <si>
    <t>מה למדנו מהשאלה במילים פשוטות? ״איבדתי אותך דוקטור״</t>
  </si>
  <si>
    <t xml:space="preserve">כשדנים במחיר ההון של חברה &gt;&gt;&gt; צריך לדעת איך היא ממומנת &gt;&gt;&gt; אם בהון עצמי בלבד &gt;&gt;&gt; רק מחיר ההון העצמי רלוונטי. </t>
  </si>
  <si>
    <t xml:space="preserve">מחיר ההון העצמי &gt;&gt;&gt; תלוי בנתוני השוק ה״חיצוניים״ &gt;&gt;&gt; ובביטא: שמשקפת את הסיכון בתחום הפרויקט. </t>
  </si>
  <si>
    <t>מה למדנו מהשאלה הזו?</t>
  </si>
  <si>
    <t>במקרה הפשוט ביותר - שבו תזרימי המזומנים שחברה תניב ידועים באופן מלא,</t>
  </si>
  <si>
    <t xml:space="preserve">היוון התזרימים הוא שווי החברה. </t>
  </si>
  <si>
    <t>ואם בחברה יש הון עצמי בלבד - מחיר ההון להיוון הוא מחיר ההון העצמי - פונקציה של הביטא ונתוני השוק החיצוניים.</t>
  </si>
  <si>
    <t>שווי המניה על בסיס הנוסחה לחישוב (גורדון, הנושא הקודם):</t>
  </si>
  <si>
    <t xml:space="preserve">בהתאם מחיר ההון הכללי - WACCA WACCA EH EH. </t>
  </si>
  <si>
    <t xml:space="preserve">אילו הפרויקט המועמד היה ברמת סיכון שונה ונבדלת - הדבר היה מגדיל/מקטין את מחיר ההון המשמש להיוון הפרויקט, </t>
  </si>
  <si>
    <t xml:space="preserve">ומקטין/מגדיל את שוויו (מקטין - אם הפרויקט מסוכן יותר, מגדיל - אם הפרויקט מסוכן פחות) </t>
  </si>
  <si>
    <r>
      <t xml:space="preserve">התשובה: א, חד משמעית. כאשר המינוף הפיננסי גדל, מדד הסיכון לבעלים ביטא גדל, ומחיר ההון </t>
    </r>
    <r>
      <rPr>
        <b/>
        <sz val="12"/>
        <rFont val="David"/>
      </rPr>
      <t>העצמי</t>
    </r>
    <r>
      <rPr>
        <sz val="12"/>
        <rFont val="David"/>
      </rPr>
      <t xml:space="preserve"> גדל בהכרח. </t>
    </r>
  </si>
  <si>
    <r>
      <rPr>
        <b/>
        <sz val="12"/>
        <rFont val="David"/>
      </rPr>
      <t>שגויה</t>
    </r>
    <r>
      <rPr>
        <sz val="12"/>
        <rFont val="David"/>
      </rPr>
      <t xml:space="preserve">. השקעה בחוב מסוכנת פחות מהשקעה במכשיר הוני, לכן מחיר ההון הזר נמוך ממחיר ההון העצמי. </t>
    </r>
  </si>
  <si>
    <r>
      <t xml:space="preserve">שגויה. </t>
    </r>
    <r>
      <rPr>
        <sz val="12"/>
        <rFont val="David"/>
      </rPr>
      <t>מחיר ההון העצמי תמיד גדל בעקבות גידול במנוף הפיננסי.</t>
    </r>
    <r>
      <rPr>
        <b/>
        <sz val="12"/>
        <rFont val="David"/>
      </rPr>
      <t xml:space="preserve"> </t>
    </r>
  </si>
  <si>
    <r>
      <rPr>
        <b/>
        <sz val="12"/>
        <rFont val="David"/>
      </rPr>
      <t>שגויה</t>
    </r>
    <r>
      <rPr>
        <sz val="12"/>
        <rFont val="David"/>
      </rPr>
      <t xml:space="preserve">. בעולם ללא מסים + ללא פשיטת רגל = מנוף פיננסי לא משפיע על ה WACC. </t>
    </r>
  </si>
  <si>
    <r>
      <rPr>
        <b/>
        <sz val="12"/>
        <rFont val="David"/>
      </rPr>
      <t>נכונה</t>
    </r>
    <r>
      <rPr>
        <sz val="12"/>
        <rFont val="David"/>
      </rPr>
      <t xml:space="preserve">. בעולם ללא מסים + ללא פשיטת רגל = מנוף פיננסי לא משפיע על ה WACC. </t>
    </r>
  </si>
  <si>
    <r>
      <rPr>
        <b/>
        <sz val="12"/>
        <rFont val="David"/>
      </rPr>
      <t>שגויה</t>
    </r>
    <r>
      <rPr>
        <sz val="12"/>
        <rFont val="David"/>
      </rPr>
      <t>. במודל מודיליאני ומילר ההנחה שאין סיכון פשיטת רגל אף פעם; ובהינתן הנחה זו, הריבית על החוב</t>
    </r>
  </si>
  <si>
    <r>
      <rPr>
        <b/>
        <sz val="12"/>
        <rFont val="David"/>
      </rPr>
      <t>נכון</t>
    </r>
    <r>
      <rPr>
        <sz val="12"/>
        <rFont val="David"/>
      </rPr>
      <t>. במודל מודיליאני ומילר ההנחה שאין סיכון פשיטת רגל אף פעם; ובהינתן הנחה זו, הריבית על החוב</t>
    </r>
  </si>
  <si>
    <r>
      <t>חברת ״</t>
    </r>
    <r>
      <rPr>
        <b/>
        <sz val="12"/>
        <rFont val="David"/>
      </rPr>
      <t>קינז לבנוני</t>
    </r>
    <r>
      <rPr>
        <sz val="12"/>
        <rFont val="David"/>
      </rPr>
      <t>״ שמבנה ההון שלה כולל 70% הון עצמי, הוא 15%. דונו בנכונות כל אחת מהטענות הבאות:</t>
    </r>
  </si>
  <si>
    <r>
      <t>טענה 1: אם בחברת ״</t>
    </r>
    <r>
      <rPr>
        <b/>
        <sz val="12"/>
        <rFont val="David"/>
      </rPr>
      <t>להיט הכי טוב</t>
    </r>
    <r>
      <rPr>
        <sz val="12"/>
        <rFont val="David"/>
      </rPr>
      <t>״ שזהה ל״</t>
    </r>
    <r>
      <rPr>
        <b/>
        <sz val="12"/>
        <rFont val="David"/>
      </rPr>
      <t>קינז לבנוני</t>
    </r>
    <r>
      <rPr>
        <sz val="12"/>
        <rFont val="David"/>
      </rPr>
      <t xml:space="preserve">״ בכל מובן פרט למבנה ההון, שיעור ההון העצמי הוא 95%, </t>
    </r>
  </si>
  <si>
    <r>
      <t xml:space="preserve">לכן מחיר ההון המשוקלל של להיט חייב להיות 15%. </t>
    </r>
    <r>
      <rPr>
        <b/>
        <sz val="12"/>
        <rFont val="David"/>
      </rPr>
      <t>הטענה שגויה.</t>
    </r>
  </si>
  <si>
    <r>
      <rPr>
        <b/>
        <sz val="12"/>
        <rFont val="David"/>
      </rPr>
      <t>הטענה שגויה</t>
    </r>
    <r>
      <rPr>
        <sz val="12"/>
        <rFont val="David"/>
      </rPr>
      <t>, בדיוק בעקבות ההנמקה לשלילת טענה 1. ה - WACC יישאר זהה למרות השינוי במבנה ההון.</t>
    </r>
  </si>
  <si>
    <t>סמנו את הטענה הנכונה:</t>
  </si>
  <si>
    <t xml:space="preserve">א. כדי שפרויקט בתחום פעילות החברה יהיה כדאי על פי כלל השת״פ (IRR), נדרוש שהשת״פ יהיה גבוה ממחיר ההון העצמי. </t>
  </si>
  <si>
    <t>ג. עלייה משמעותית בריבית חסרת הסיכון צפויה להגדיל את מחיר ההון העצמי בחברה אך לא את מחיר ההון הכולל.</t>
  </si>
  <si>
    <t>ד. מחיר ההון של החברה WACC הוא מחיר ההון שבו נהוון את תזרימי הדיבידנד הצפויים ממניה כדי לקבוע את מחירה.</t>
  </si>
  <si>
    <t>ה. כל יתר הטענות שגויות.</t>
  </si>
  <si>
    <t>שאלה מבחינת 2024א מועד א</t>
  </si>
  <si>
    <t>א. ככל שמחיר ההון גבוה יותר, עולה כדאיות הפרויקט המועמד להשקעה על ידי חברה.</t>
  </si>
  <si>
    <t xml:space="preserve">ב. עלייה ברמת הסיכון של החברה ו/או של סוג הפרויקטים העיקרי שהיא מבצעת, מובילה לירידה במחיר ההון שלה. </t>
  </si>
  <si>
    <t xml:space="preserve">ג. שינויים בשיעור התשואה לפדיון בגין אג״ח חברה לא יכולים להשפיע על מחיר ההון שלה. </t>
  </si>
  <si>
    <t xml:space="preserve">ד. עלייה בריבית השוק על אג״ח לא תשפיע על שיעור התשואה לפדיון באג״ח. </t>
  </si>
  <si>
    <t>שאלה מבחינת 2024א מועד ב</t>
  </si>
  <si>
    <t>זכרו: מחיר ההון לא משקף את שווי ההון;</t>
  </si>
  <si>
    <t>אלא את התשואה הנדרשת באחוזים.</t>
  </si>
  <si>
    <t>וככל שהסיכון עולה, התשואה הנדרשת עולה.</t>
  </si>
  <si>
    <t xml:space="preserve">הנוסחה במודל ״המחרת נכסים - CAPM״ הקובעת כי הביטא משפיעה על מחיר ההון העצמי KE = התשואה הנדרשת באחוזים.  </t>
  </si>
  <si>
    <t>שאלה 1 - הקבלה לשאלה 1 בתרגיל בית 4: הקשר בין סיכון הביטא ותשואה נדרשת באחוזים (=״מחיר ההון״)</t>
  </si>
  <si>
    <r>
      <t xml:space="preserve">מחיר ההון העצמי kE: שיעור התשואה באחוזים שדורשים </t>
    </r>
    <r>
      <rPr>
        <sz val="12"/>
        <color rgb="FFFF0000"/>
        <rFont val="David"/>
      </rPr>
      <t>הבעלים (בעלי המניות)</t>
    </r>
    <r>
      <rPr>
        <sz val="12"/>
        <color theme="1"/>
        <rFont val="David"/>
      </rPr>
      <t xml:space="preserve"> על השקעתם. </t>
    </r>
  </si>
  <si>
    <t>כלומר: כאשר אני מביט על אותה חברה, kE&gt;kD</t>
  </si>
  <si>
    <t>Equity Premium</t>
  </si>
  <si>
    <r>
      <t xml:space="preserve">בעולם </t>
    </r>
    <r>
      <rPr>
        <b/>
        <u/>
        <sz val="12"/>
        <rFont val="David"/>
      </rPr>
      <t>ללא מסים</t>
    </r>
    <r>
      <rPr>
        <b/>
        <sz val="12"/>
        <rFont val="David"/>
      </rPr>
      <t xml:space="preserve"> וללא פשיטת רגל, ניתן להוכיח שסך הכל מחיר ההון הממוצע המשוקלל איננו תלוי במינוף הפיננסי. </t>
    </r>
  </si>
  <si>
    <t>WACC(Keinaz) = 15%</t>
  </si>
  <si>
    <t>RF = 2%</t>
  </si>
  <si>
    <t>E/V = 70%</t>
  </si>
  <si>
    <t>D/V = 30%</t>
  </si>
  <si>
    <t>WACC(Lahit) = ???</t>
  </si>
  <si>
    <t>E/V = 95%</t>
  </si>
  <si>
    <t>D/V = 5%</t>
  </si>
  <si>
    <t>t = 0</t>
  </si>
  <si>
    <t xml:space="preserve">ידוע ש: מחיר ההון העצמי משוקלל עם מחיר הון זר = WACC = 15% (נתון). </t>
  </si>
  <si>
    <t xml:space="preserve">בנוסף ידוע שמחיר ההון הזר נמוך יותר ממחיר ההון העצמי. </t>
  </si>
  <si>
    <t>המשמעות: ששיקלול של שני ערכים: מחיר הון זר (נמוך) עם מחיר הון עצמי (גבוה) נותן 15%.</t>
  </si>
  <si>
    <t xml:space="preserve">זה בהכרח אומר שמחיר ההון הזר נמוך מ-15% ומחיר ההון העצמי גבוה מ-15%. </t>
  </si>
  <si>
    <t xml:space="preserve">מדובר ב-2 חברות זהות, שההבדל היחידי ביניהן הוא שחברת ״קינז״ יותר ממונפת (פחות הון עצמי). </t>
  </si>
  <si>
    <t>המשמעות היא שחברה זו מסוכנת יותר לבעלים, ולכן הם (הבעלים) ידרשו תשואה גבוהה יותר.</t>
  </si>
  <si>
    <t>דרישת תשואה גבוהה יותר על ידי הבעלים כתוצאה מהמינוף הגבוה === kE גבוה יותר.</t>
  </si>
  <si>
    <t xml:space="preserve">לכן, נשלול את הטענה שאומרת שהתשואה הנדרשת על ידי בעלי המניות זהה. </t>
  </si>
  <si>
    <t>א: שגוי, ה-IRR (התשואה מהפרויקט עצמו) צריכה להיות גבוהה ממחיר ההון הכולל של החברה (WACC) על מנת</t>
  </si>
  <si>
    <t xml:space="preserve">להצדיק את הפרויקט. </t>
  </si>
  <si>
    <t>ב. עלייה מהותית ברמת הסיכון התפעולי של החברה צפויה להתבטא בעלייה במחיר ההון הכולל שלה (WACC).</t>
  </si>
  <si>
    <t>ב: נכון. כאשר חלה עלייה בסיכון התפעולי - אין שינוי במבנה ההון, אלא עלייה כוללת ברמת הסיכונים. לכן, המשקיעים</t>
  </si>
  <si>
    <t>ידרשו תשואה גבוהה יותר. במלים אחרות: יש להבדיל בין עלייה בסיכון לבעלים שנובעת ממנוף פיננסי - שהשפעתה</t>
  </si>
  <si>
    <t xml:space="preserve">על ה-WACC בעולם ללא מס היא 0, ובעולם עם מסים השפעתה על ה-WACC שלילית, לבין עלייה בסיכון תפעולי, </t>
  </si>
  <si>
    <t xml:space="preserve">שבהכרח מגדילה את התשואה הכוללת הנדרשת. </t>
  </si>
  <si>
    <t xml:space="preserve">אם RF עולה, בהחלט ייתכן שמחיר ההון העצמי יעלה ולכן התשואה הנדרשת על ידי בעלי המניות עשויה לגדול. </t>
  </si>
  <si>
    <t xml:space="preserve">יחד עם זאת, במצב כזה, מחיר ההון הכולל יגדל גם הוא. </t>
  </si>
  <si>
    <t>ג: שגוי - מחיר ההון העצמי:</t>
  </si>
  <si>
    <t xml:space="preserve">ד: שגוי - את הדיבידנדים מהוונים בשיעור התשואה הנדרש על ההון העצמי kE. </t>
  </si>
  <si>
    <t xml:space="preserve">התשובה הנכונה: ה. </t>
  </si>
  <si>
    <t>א שגויה - ככל שמחיר ההון גבוה יותר, שווי התזרימים הנובעים מהפרויקט יורד (במונחי ערך נוכחי) ולכן כדאיותו יורדת.</t>
  </si>
  <si>
    <t>ב שגויה - עלייה ברמת הסיכון של החברה או ברמת הסיכון של הפרויקטים שהיא מבצעת תגדיל את מחיר ההון בעקבות</t>
  </si>
  <si>
    <t>התשואה הנוספת שידרשו המשקיעים בעד השקעתם בחברה.</t>
  </si>
  <si>
    <t xml:space="preserve">ג שגויה - שינויים בשיעור התשואה לפדיון משפיעים על kD שמשוקלל במחיר ההון ולכן משפיע עליו. </t>
  </si>
  <si>
    <t>ד שגויה - ריבית השוק על האג״ח היא למעשה שיעור התשואה לפדיון באג״ח.</t>
  </si>
  <si>
    <t xml:space="preserve">התשובה ג. </t>
  </si>
  <si>
    <t xml:space="preserve">התשובה ב. </t>
  </si>
  <si>
    <t>התשובה ג</t>
  </si>
  <si>
    <t>מפגש 10 - 6/1/2025 - חכירות - הבסיס</t>
  </si>
  <si>
    <t>קישור קצר:</t>
  </si>
  <si>
    <t>את הקורס התחלנו עם חישובי אג״ח - בתור אחד ממקורות המימון של הפירמה, שיש משמעות לחישוב ערכו, התשואה</t>
  </si>
  <si>
    <t>בגינו וכיוצא בזה.</t>
  </si>
  <si>
    <t>המשכנו עם חישובי שווי / תמורה בתמחור מניות - כמקור מימון נוסף, הוני.</t>
  </si>
  <si>
    <t>בדיון שערכנו במחיר ההון המשוקלל WACC דאגנו לשלב את ההשפעות של מקורות מימון אלו לשם חישוב תשואה</t>
  </si>
  <si>
    <t xml:space="preserve">משוקללת נדרשת על ידי החברה בשים לב לדרגת המינוף ורמת הסיכון - ביטא. </t>
  </si>
  <si>
    <t>כל זה בנוי שלב שלב, בהדרגה.</t>
  </si>
  <si>
    <t xml:space="preserve">דמי שכירות לאורך זמן בעד נכס - כגון ליסינג למכונית, או הסכם שכירות ארוך טווח למשרד. </t>
  </si>
  <si>
    <t>מקור מימון נוסף לנכסים בחברה הוא גם עסקאות חכירה. עסקת חכירה היא בגדר התחייבות ארוכת טווח לתשלום</t>
  </si>
  <si>
    <t>בהינתן שגם השכרת נכסים לאורך זמן (חכירות) היא בגדר מקור מימון נוסף, אנחנו רוצים לסגור את הקורס בהתייחסות</t>
  </si>
  <si>
    <t xml:space="preserve">אליה. </t>
  </si>
  <si>
    <t xml:space="preserve">עיקר הדיון שלנו יתמקד בבחירה בין מימון רכישה של נכס לבין חכירה, במגוון דרכים. </t>
  </si>
  <si>
    <t xml:space="preserve">במבחן - שאלות לגבי חכירה נכנסות בתור סעיף בשאלה גדולה ו/או בשאלה אמריקאית. </t>
  </si>
  <si>
    <t>דיסקליימר:</t>
  </si>
  <si>
    <t>דיון בחכירות עשוי לדרוש התייחסות להיבטים של זקיפת שווי, היבטי מע״מ ודומיהם. יחד עם זאת, קורס זה איננו</t>
  </si>
  <si>
    <t>קורס במסים בהגדרה. לכן, התייחסותנו להיבטי המס תהיה ״מנוונת״ ובסיסית, כאשר הדיון בכדאיות החכירה</t>
  </si>
  <si>
    <t xml:space="preserve">תבוצע מנקודת ראות חברה החוכרת נכסים באופן כללי (לאו דווקא בהקשר לליסינג לעובדים). </t>
  </si>
  <si>
    <t>שאלת בסיס - ליסינג (חכירה) או בעלות</t>
  </si>
  <si>
    <t>יגאל שוקל לרכוש מכונה לחימום נקניק לעובדי המשרד,</t>
  </si>
  <si>
    <t>ראו תמונה מימין.</t>
  </si>
  <si>
    <t>עלות רכישת המכונה 500,000 ש״ח והיא מופחתת לצרכי</t>
  </si>
  <si>
    <t xml:space="preserve">מס בשיטת הקו הישר על פני 10 שנים. </t>
  </si>
  <si>
    <t>שווי המכונה צפוי לרדת ב-5% לשנה YOY.</t>
  </si>
  <si>
    <t>עלויות תחזוקת המכונה (ניקוי פופיקים, סילוק כרבולות)</t>
  </si>
  <si>
    <t>הן בסך 30,000 ש״ח לשנה בכל אחת מ-6 השנים הקרובות,</t>
  </si>
  <si>
    <t>ובסך 40,000 ש״ח לשנה בכל שנה לאחר מכן.</t>
  </si>
  <si>
    <t>בסיום החיים של המכונה, בתום השנה ה-10, מכירתה</t>
  </si>
  <si>
    <t xml:space="preserve">צפויה בהתאם לשוויה באותו המועד. </t>
  </si>
  <si>
    <t>החברה כפופה למס חברות בשיעור 30% ולמס רווחי הון</t>
  </si>
  <si>
    <t>כחלופה לרכישת המכונה, יכולה החברה לחכור אותה</t>
  </si>
  <si>
    <t>בתמורה לדמי חכירה שנתיים קבועים בסכום של 30,000 ש״ח</t>
  </si>
  <si>
    <t xml:space="preserve">המוכרים כהוצאה לצרכי מס. </t>
  </si>
  <si>
    <t>עלות רכישה</t>
  </si>
  <si>
    <t>מגן מס-פחת</t>
  </si>
  <si>
    <t>תמורה נטו</t>
  </si>
  <si>
    <t>טיפול במכירת המכונה:</t>
  </si>
  <si>
    <t>תחילה, עלות מופחתת במכירה:</t>
  </si>
  <si>
    <t>עלות</t>
  </si>
  <si>
    <t>פחת נצבר</t>
  </si>
  <si>
    <t xml:space="preserve">500/10 * 10 = </t>
  </si>
  <si>
    <t>עלות מופחתת</t>
  </si>
  <si>
    <t>תמורת המכירה (לפי שווי הפריט):</t>
  </si>
  <si>
    <t xml:space="preserve">500 * (1 - 5%)^10 = </t>
  </si>
  <si>
    <t>רווח הון - ההפרש החיובי בין התמורה לעלות המופחתת:</t>
  </si>
  <si>
    <t>רווח הון</t>
  </si>
  <si>
    <t>מס רווח הון</t>
  </si>
  <si>
    <t>מס לתשלום</t>
  </si>
  <si>
    <t>תמורה</t>
  </si>
  <si>
    <t>הוצאות שוט׳</t>
  </si>
  <si>
    <r>
      <t xml:space="preserve">בשיעור 20%. </t>
    </r>
    <r>
      <rPr>
        <b/>
        <sz val="12"/>
        <color theme="1"/>
        <rFont val="David"/>
      </rPr>
      <t>מחיר ההון של החברה: 10% לשנה.</t>
    </r>
  </si>
  <si>
    <t xml:space="preserve">NPV </t>
  </si>
  <si>
    <t>עלות בחלופת הרכישה</t>
  </si>
  <si>
    <t>חכירה</t>
  </si>
  <si>
    <t>דמי חכירה</t>
  </si>
  <si>
    <t>סיכום שלבי העבודה ומשמעותם - לפני תרגול נוסף:</t>
  </si>
  <si>
    <t>חלופת הרכישה</t>
  </si>
  <si>
    <t>חלופת החכירה</t>
  </si>
  <si>
    <t>התזרים התקופתי בתום כל תקופה:</t>
  </si>
  <si>
    <r>
      <rPr>
        <sz val="12"/>
        <color theme="0"/>
        <rFont val="David"/>
      </rPr>
      <t>,</t>
    </r>
    <r>
      <rPr>
        <sz val="12"/>
        <color theme="1"/>
        <rFont val="David"/>
      </rPr>
      <t>- C * (1 - t)</t>
    </r>
  </si>
  <si>
    <t>עלות דמי החכירה הקבועים</t>
  </si>
  <si>
    <t>מבצעים NPV = התוצאה מייצגת את העלות</t>
  </si>
  <si>
    <t>הכוללת של מימון בחכירה במונחים של</t>
  </si>
  <si>
    <t xml:space="preserve">ערך נוכחי. </t>
  </si>
  <si>
    <t>א. עלות הרכישה - בזמן 0 בסימן שלילי.</t>
  </si>
  <si>
    <t>ב. מגני המס על הפחת - בתום כל תקופה, יתקבל תזרים חיובי המחושב</t>
  </si>
  <si>
    <t>על ידי מכפלת הוצאות הפחת בשיעור המס.</t>
  </si>
  <si>
    <t>I / n * t</t>
  </si>
  <si>
    <t>I</t>
  </si>
  <si>
    <t xml:space="preserve">עלות הפריט </t>
  </si>
  <si>
    <t>n</t>
  </si>
  <si>
    <t>תקופת הפחתת הפריט לצרכי מס</t>
  </si>
  <si>
    <t>ג. טיפול במכירת הפריט בתום התקופה ומס רווח הון בגינו:</t>
  </si>
  <si>
    <t>ג.1. חישוב ״עלות מופחתת״ (עלות בניכוי פחת נצבר) ערב המכירה.</t>
  </si>
  <si>
    <t>ג.2. ההפרש בין שווי הפריט / תמורת המכירה לבין העלות המופחתת הוא רווח / הפסד ההון.</t>
  </si>
  <si>
    <t xml:space="preserve">ג.3. רווח / הפסד ההון ימוסה לפי שיעור מס רווח הון. </t>
  </si>
  <si>
    <t>ד. עלויות שוטפות (כמו אחזקה, טיפולים וכן הלאה):</t>
  </si>
  <si>
    <t xml:space="preserve">ה. חישוב סך התזרים על בסיס סיכום ההשפעות הנ״ל, וחישוב NPV </t>
  </si>
  <si>
    <t>על התזרים הכולל. כך מקבלים את העלות הכוללת של מימון ברכישה</t>
  </si>
  <si>
    <t xml:space="preserve">במונחים של ערך נוכחי. </t>
  </si>
  <si>
    <t>העלות של מכונת חימום נקניק במזומן היא 40,000 ש״ח.</t>
  </si>
  <si>
    <t xml:space="preserve">שווי השוק של המכונה יורד ב-5,000 ש״ח בכל שנה. </t>
  </si>
  <si>
    <t>המכונה מוחזקת 3 שנים.</t>
  </si>
  <si>
    <t>עלויות האחזקה החודשיות הן 1,000 ש״ח בתום כל חודש במשך שנה, ו-2,000 ש״ח</t>
  </si>
  <si>
    <t>כחלופה, החברה יכולה לחכור את המכונה.</t>
  </si>
  <si>
    <t xml:space="preserve">התשלום החודשי יהיה 2,500 ש״ח בתום כל חודש, וזה הכל. </t>
  </si>
  <si>
    <t>החברה רווחית, משלמת מס חברות 25% ומס רווחי הון 15%.</t>
  </si>
  <si>
    <t>הפחת על המכונה לחימום נקניק הוא בשיטת הקו הישר על פני 10 שנים.</t>
  </si>
  <si>
    <t>מחיר ההון של החברה 8% לשנה ויש להניח שהוא רלוונטי לכל תזרימי החברה.</t>
  </si>
  <si>
    <t>א. מהי החלופה שתועדף?</t>
  </si>
  <si>
    <t>ב. חשבו את ״דמי החכירה הקריטיים״ (עלות דמי החכירה המירביים שהחברה מוכנה</t>
  </si>
  <si>
    <t xml:space="preserve">לשלם במסלול החכירה כדי להסכים לחכירה במקום רכישה). </t>
  </si>
  <si>
    <t xml:space="preserve">ג. הסבירו בקצרה שיקולים רכים להעדפת עסקת החכירה. </t>
  </si>
  <si>
    <t>שאלה נוספת - ליסינג או בעלות (אני נותן זמן לאנשים להתווכח על הבוחן בביקורת)</t>
  </si>
  <si>
    <t xml:space="preserve">חברת ״רום ודוביק״ שוקלת לרכוש מכונה חדשה לחימום נקניק. </t>
  </si>
  <si>
    <t xml:space="preserve">בתום כל חודש במשך שלוש שנים. </t>
  </si>
  <si>
    <t>מגן מס פחת</t>
  </si>
  <si>
    <t>זמן בחודשים</t>
  </si>
  <si>
    <t>תום שנה 1</t>
  </si>
  <si>
    <t>תום שנה 2</t>
  </si>
  <si>
    <t>תום שנה 3</t>
  </si>
  <si>
    <t>עלות שוטפת</t>
  </si>
  <si>
    <t>npv =</t>
  </si>
  <si>
    <t>בעלות</t>
  </si>
  <si>
    <t>חלופת</t>
  </si>
  <si>
    <t>לאחר שחישבנו את ה-NPV בחלופת הבעלות, אפשר לחלץ את התשלום החודשי הקבוע</t>
  </si>
  <si>
    <t xml:space="preserve">השקול לכך. </t>
  </si>
  <si>
    <t>איך? פשוט ניקח את ה-NPV, נשים אותו כ-PV, ונחלץ PMT.</t>
  </si>
  <si>
    <t>תשובה: חלופת הבעלות, ראו חישוב משמאל - NPV חכירה ״פחות שלילי״</t>
  </si>
  <si>
    <t>ריבית חודשית</t>
  </si>
  <si>
    <t>מס׳ חודשים</t>
  </si>
  <si>
    <t>עלות כוללת חלופת רכישה</t>
  </si>
  <si>
    <t>הערך המחולץ - תזרים נטו</t>
  </si>
  <si>
    <t>בסך הכל, קיימת אדישות בין דמי חכירה חודשיים נטו אחרי מס של 1767.93 לבין</t>
  </si>
  <si>
    <t xml:space="preserve">רכישה. </t>
  </si>
  <si>
    <t>X * (1 - 25%) = 1,767.93</t>
  </si>
  <si>
    <t xml:space="preserve">X = </t>
  </si>
  <si>
    <t xml:space="preserve">המסקנה: אם המחכיר ידרוש סכום של 2,357.24 ש״ח (או פחות) אזי נסכים לבצע </t>
  </si>
  <si>
    <t>את החכירה חלף הרכישה.</t>
  </si>
  <si>
    <t xml:space="preserve">הסיבה לכך שכפלנו ב-1 פחות המס - היא שה-NPV (שהוצב כ-PV) הוא כבר סופי, </t>
  </si>
  <si>
    <t xml:space="preserve">אחרי מס. ולכן, דמי החכירה שחילצנו (1,767.93) הם ערך סופי, אחרי מס. </t>
  </si>
  <si>
    <t>כדי לתרגם את דמי החכירה אחרי מס לערכם ברוטו (הסכום החודשי לתשלום למחכיר)</t>
  </si>
  <si>
    <t xml:space="preserve">חילקנו באחת פחות המס. </t>
  </si>
  <si>
    <t>דמי חכירה ״קריטיים״</t>
  </si>
  <si>
    <t>דמי החכירה התקופתיים שלא נסכים</t>
  </si>
  <si>
    <t>לשלם מעבר להם (במצב כזה נעבור לרכישה)</t>
  </si>
  <si>
    <t>הסעיף דורש שנציג בקצרה היבטים נוספים הגורמים להעדפת רכישה או חכירה מעבר</t>
  </si>
  <si>
    <t xml:space="preserve">לניתוח הפיננסי המתודולוגי שעשינו. </t>
  </si>
  <si>
    <t>תכל׳ס - בשפה פשוטה:</t>
  </si>
  <si>
    <t xml:space="preserve">כשאתה חוכר נכס - הוא לא שלך. נשאלת השאלה, האם ועד כמה חשוב לך לשלוט בתקופת ההחזקה בפריט. </t>
  </si>
  <si>
    <t>במקרים רבים - חכירת נכס מלווה בהסדר שכולל תפעול או אחזקה ו/או שירותים אחרים שחוסכים כאב ראש ומורכבות בניהול.</t>
  </si>
  <si>
    <t xml:space="preserve">כשמדובר בחכירת נדל״ן - מסלול החכירה מוביל להיעדר האפשרות להנות מעליית שווי הנכס. </t>
  </si>
  <si>
    <t xml:space="preserve">כאשר מנהלים ציי רכב, למשל - היכולת לבצע מיקור חוץ לכלל השירותים הנלווים לחברה חיצונית, מקטין מורכבות בניהול. </t>
  </si>
  <si>
    <t xml:space="preserve">במפגש זה פתרנו חלקים מבחינה. </t>
  </si>
  <si>
    <t>בקובץ נפרד.</t>
  </si>
  <si>
    <t>מפגש 12 - המשך היערכות לבחינה - 20/1/2025</t>
  </si>
  <si>
    <t>ולאור המשקל המהותי של הנושאים התיאורטיים בבחינה, הן כשאלה פוטנציאלית גדולה, הן כסעיף משמעותי</t>
  </si>
  <si>
    <t>בשאלה גדולה והן בשאלות אמריקאיות, ננסה לתת כמה דגשים כעת בצורה של שאלות נוספות לדוגמא במגוון</t>
  </si>
  <si>
    <t xml:space="preserve">נושאים תיאורטיים כאמור. </t>
  </si>
  <si>
    <t>שאלה 1 - המח״מ</t>
  </si>
  <si>
    <t>חברה א׳ הנפיקה אג״ח שערכה הנקוב 100 ש״ח לתקופה של 8 שנים. האג״ח משלמת ריבית שנתית נקובה בשיעור 5%</t>
  </si>
  <si>
    <t xml:space="preserve">אחת לשנה. </t>
  </si>
  <si>
    <t>חברה ב׳ הנפיקה אג״ח זהה לתקופה של 15 שנים (הריבית השנתית הנקובה ותדירות תשלומה - זהים).</t>
  </si>
  <si>
    <t xml:space="preserve">שתי אגרות החוב נפרעות בתשלום אחד במועד סיום חיי האג״ח. </t>
  </si>
  <si>
    <t>נדרש א</t>
  </si>
  <si>
    <t>נדרש א - למי מאגרות החוב המח״מ ארוך יותר?</t>
  </si>
  <si>
    <t>כמובן שהמח״מ של אג״ח ב׳ גבוה יותר / ארוך יותר - הרי המח״מ מייצג את משך החיים הממוצע של אגרת החוב,</t>
  </si>
  <si>
    <t>וככל שהאג״ח ליותר שנים, ובהינתן ש״כל השאר קבוע״, האג״ח הארוכה היא גם בעלת מח״מ גבוה יותר.</t>
  </si>
  <si>
    <t>המונח מח״מ איננו זהה לחלוטין למונח ״אורך חיי האג״ח״ משום שהוא מתחשב גם בפרעונות ותשלומים במהלך</t>
  </si>
  <si>
    <t>התקופה. כלומר, אם צריך לחשב מח״מ לאג״ח שחלק גדול ממנה נפרע בתום השנה הראשונה, ורק חלק קטן משולם</t>
  </si>
  <si>
    <t xml:space="preserve">בתום השנה ה-15, מח״מ האג״ח יהיה קרוב יותר ל-1. </t>
  </si>
  <si>
    <t>בשפה פשוטה: המח״מ משקף ״בממוצע״ תוך כמה זמן מקבלים את הכסף, בשים לב שבאגרות חוב - חלק מהתשלומים</t>
  </si>
  <si>
    <t xml:space="preserve">מתקבלים מאוחר וחלק מוקדם. </t>
  </si>
  <si>
    <t>הרחבה קטנה:</t>
  </si>
  <si>
    <t>נדרש ב - ידוע שחברה ב היא מסוכנת יותר. האם כתוצאה מכך נוכל לומר שהמח״מ של האג״ח משתנה?</t>
  </si>
  <si>
    <t>PB = 100</t>
  </si>
  <si>
    <t>FV = 180</t>
  </si>
  <si>
    <t xml:space="preserve">באג״ח כזו - המח״מ חייב להיות 10 שנים, כי מקבלים את כל הסכום בעוד 10 שנים וזהו. </t>
  </si>
  <si>
    <t>תקבול</t>
  </si>
  <si>
    <t xml:space="preserve">במצב כזה - אורך חיי האג״ח 10 שנים. אך המח״מ יהיה סביב (לא צריך לחשב בקורס, רק כדי להבין): 7.5 (בערך). </t>
  </si>
  <si>
    <t>במצב כזה - אורך חיי האג״ח 10 שנים, המח״מ יהיה סביב (לא צריך לחשב בקורס, רק כדי להבין): 5.</t>
  </si>
  <si>
    <t xml:space="preserve">המח״מ נקבע בראש ובראשונה על בסיס עיתוי תזרימי המזומנים שהאג״ח משלמת על פי נתוניה. </t>
  </si>
  <si>
    <t xml:space="preserve">בהתאם, כל עוד אין שינוי בעיתוי התזרימים וסכומם - המח״מ נותר קבוע. </t>
  </si>
  <si>
    <t>במלים אחרות, אם המח״מ של אג״ח הוא סביב 15, ערך זה הוא בלתי תלוי בסיכון החברה המנפיקה (לפחות באופן ישיר).</t>
  </si>
  <si>
    <t>נדרש ג - מהו ההבדל בין הסיכון של החברה המנפיקה לבין סיכון מח״מ ואיך כל אחד מהם משפיע על המשקיע?</t>
  </si>
  <si>
    <t xml:space="preserve">מח״מ = משך חיי האג״ח (ממוצע). ככל שהמח״מ ארוך יותר = מתמטית: שינויי שוויה הנובעים משינויים בריבית משמעותיים יותר. </t>
  </si>
  <si>
    <t>עלייה בריבית = מורידה ״חזק״ שווי של אג״ח במח״מ גבוה, ו״בצורה מתונה״ שווי אג״ח במח״מ נמוך</t>
  </si>
  <si>
    <t>ירידה בריבית = מעלה ״חזק״ שווי של אג״ח במח״מ גבוה, ו״בצורה מתונה״ שווי אג״ח במח״מ נמוך</t>
  </si>
  <si>
    <t>ואם כך - מדובר בסיכון הקשור לתנודתיות שווי האג״ח, כתוצאה משינויי ריבית בשוק.</t>
  </si>
  <si>
    <t>גם אם הגורם המנפיק לא מסוכן כלל (כמו אג״ח ממשלתית) עדיין השקעה במח״מ ארוך</t>
  </si>
  <si>
    <t xml:space="preserve">נושאת בסיכון מח״מ משמעותי כאמור. </t>
  </si>
  <si>
    <t xml:space="preserve">בהקשר הנדון: שינוי בריבית </t>
  </si>
  <si>
    <t>משמעו - שינוי ב״ריבית שוק״</t>
  </si>
  <si>
    <t>או ב״שיעור תשואה לפדיון״</t>
  </si>
  <si>
    <t>או ב״מחיר ההון הזר״ kD</t>
  </si>
  <si>
    <t>בקיצור - הריבית שבה מהוונים את תזרימי האג״ח</t>
  </si>
  <si>
    <t xml:space="preserve">סיכון החברה המנפיקה = סיכון שונה לגמרי: דן בהשפעות הסיכון הקשורות למסוגלות המנפיק לשלם. </t>
  </si>
  <si>
    <t>בסיכון זה לא עסקנו בצורה ישירה בקורס, אבל כמובן שהוא קיים: ככל שחברה מסוכנת יותר, אזי הסיכוי לכשל פירעון משמעותי יותר.</t>
  </si>
  <si>
    <t>לאור העובדה שסיכון מח״מ הוא פונקציה מהעיתוי של התזרימים שמוגדרים באג״ח;</t>
  </si>
  <si>
    <t>בעוד שסיכון החברה הוא ספציפי ופנימי לחברה המנפיקה;</t>
  </si>
  <si>
    <t xml:space="preserve">אלו שני סוגים שונים של סיכונים. </t>
  </si>
  <si>
    <t>נדרש ד - החלטות משקיעים והקשר למח״מ</t>
  </si>
  <si>
    <t>העתק מהנתונים:</t>
  </si>
  <si>
    <t xml:space="preserve">הניחו שמשקיע סבור כי צפויה עליה ניכרת בריבית השוק. הסבירו באיזו אג״ח מבין השתיים סביר להניח שיבחר. </t>
  </si>
  <si>
    <t xml:space="preserve">דונו בקצרה בחסרונות הכרוכים בכך. </t>
  </si>
  <si>
    <t>רובד המענה הבסיסי: שואלים על מח״מ &gt;&gt;&gt; סיכון שקשור לשינויים בריבית להיוון (ריבית השוק)</t>
  </si>
  <si>
    <t>מח״מ גבוה &gt;&gt;&gt; שינוי שווי משמעותי כתוצאה משינוי ריבית.</t>
  </si>
  <si>
    <t>מח״מ נמוך &gt;&gt;&gt; שינוי שווי מתון כתוצאה משינוי ריבית.</t>
  </si>
  <si>
    <t xml:space="preserve">כאן &gt;&gt;&gt; צפויה עליית ריבית &gt;&gt;&gt; שתלווה בירידה בשווי האג״ח (עלייה בריבית להיוון) </t>
  </si>
  <si>
    <t>כדי למתן את הירידה בהשקעה: השקעה במח״מ נמוך עדיפה.</t>
  </si>
  <si>
    <t>רובד המענה המורכב:</t>
  </si>
  <si>
    <t>רוב הניקוד</t>
  </si>
  <si>
    <t>מטוב למושלם</t>
  </si>
  <si>
    <t>חשוב לזכור שאף משקיע לא באמת יודע מהו כיוון השתנות הריבית.</t>
  </si>
  <si>
    <t>בהתאם, ייתכנו שינויים ששונים מציפיות המשקיע, ולמשל - ירידת ריבית.</t>
  </si>
  <si>
    <t xml:space="preserve">אם אכן ציפיות המשקיע לא תתממשנה וכיוון השינוי יהיה הפוך, </t>
  </si>
  <si>
    <t>כמובן שהפעולה (האסטרטגיה) שבה בחר (מח״מ נמוך) תוביל אותו להפסד</t>
  </si>
  <si>
    <t>או לפחות לרווח נמוך יותר ביחס לחלופה.</t>
  </si>
  <si>
    <t>שאלה מרכזית בנושא תהיה - מה העדפות הסיכון של המשקיע? האם הוא אכן מוכן</t>
  </si>
  <si>
    <t>לשאת בפוטנציאל תשואה נמוך יותר במקרה שבו הריבית יורדת, בתמורה לכך</t>
  </si>
  <si>
    <t>שבמידה והריבית תעלה (כמו שהוא סבור) הפסדיו יהיו נמוכים יותר.</t>
  </si>
  <si>
    <t>שאלה 2 - מחיר ההון העצמי - חילוץ, CAPM, סיכונים וביטא</t>
  </si>
  <si>
    <t xml:space="preserve">חברת ״נקניקי יניב״ בע״מ היא חברה שמנייתה נסחרת בבורסה לניירות ערך בתל אביב. </t>
  </si>
  <si>
    <t>להלן מספר נדרשים בהקשר לניתוח המניה ותשואת המשקיעים בגינה:</t>
  </si>
  <si>
    <t>נדרש א - בהנחה שמחיר המניה ידוע, וציפיות הצמיחה של הדיבידנד ידועות למשקיעים שכן פורסמו במסגרת מצגת</t>
  </si>
  <si>
    <t>המשקיעים שנלוותה לדוח הכספי הקרוב. מהי הדרך הנוחה ביותר לחילוץ שיעור התשואה הנדרש על ידי המשקיעים?</t>
  </si>
  <si>
    <t>מסלול חילוץ שיעור תשואה על בסיס מחיר המניה:</t>
  </si>
  <si>
    <t>מסלול חישוב שיעור התשואה הנדרש על בסיס נתוני השוק והסיכון ביטא:</t>
  </si>
  <si>
    <t>זו תהיה הנוסחה הרלוונטית לחילוץ</t>
  </si>
  <si>
    <t>אם קיימים נתונים לגבי דיבידנד,</t>
  </si>
  <si>
    <t>שיעור צמיחה ומחיר המניה</t>
  </si>
  <si>
    <t>נדרש ב - הניחו כעת כי המניה ממשיכה להסחר בבורסה, אך סכום הדיבידנד העתידי ושיעורי הצמיחה אינם ידועים</t>
  </si>
  <si>
    <t>בצורה מפורשת. מחיר המניה דווקא ידוע. בנוסף קיים מידע בדבר תשואת אג״ח ממשלתית ותוחלת תשואת השוק.</t>
  </si>
  <si>
    <t xml:space="preserve">                מחיר ההון העצמי, התשואה הנדרשת על ידי בעלי המניות</t>
  </si>
  <si>
    <t>ריבית חסרת סיכון: תשואת אג״ח ממשלתית</t>
  </si>
  <si>
    <t>תוחלת תשואת תיק השוק (תוחלת התשואה של מדד מניות מוביל)</t>
  </si>
  <si>
    <t>מהי הדרך הנוחה לחילוץ שיעור התשואה הנדרש על ידי המשקיעים במניות החברה?</t>
  </si>
  <si>
    <t xml:space="preserve">הביטא - אומד רמת הסיכון בהשקעה במניית החברה </t>
  </si>
  <si>
    <t>פרמיית סיכון</t>
  </si>
  <si>
    <t>תמיד ניתן לחשב את הביטא של מניה סחירה</t>
  </si>
  <si>
    <t>זה המסלול המתאים כמובן: בקצרה - אם אני יודע מהם נתוני השוק</t>
  </si>
  <si>
    <t>והמניה סחירה - תמיד אפשר לחשב את התשואה הנדרשת בגינה</t>
  </si>
  <si>
    <t xml:space="preserve">על ידי משקיעים לפי - CAPM. </t>
  </si>
  <si>
    <t>CAPM</t>
  </si>
  <si>
    <t xml:space="preserve">נדרש ג - הניחו כעת כי המניה איננה נסחרת. נתוני השוק כגון ריבית חסרת סיכון ותוחלת תשואת השוק ידועים. </t>
  </si>
  <si>
    <t>כמו כן, ידועים נתוני הביטא של חברות מקבילות שכן נסחרות.</t>
  </si>
  <si>
    <t>הסבירו (ללא צורך בחישוב) כיצד ניתן יהיה להעריך את מחיר ההון העצמי של החברה?</t>
  </si>
  <si>
    <t>כמובן שהמסלול המתאים:</t>
  </si>
  <si>
    <t>והלקונה (הערך היחיד החסר) הוא הביטא. את הביטא לא ניתן לדעת למניה הספציפית באופן ישיר, שכן איננה נסחרת.</t>
  </si>
  <si>
    <t>אך ניתן לאמוד את הביטא על בסיס ערך הביטא של חברות דומות ככל הניתן שכן נסחרות.</t>
  </si>
  <si>
    <t>הצגנו את השימוש בביטא ממוצעת במצב כזה, ואם ניתן להעריכה - היא תוצב לשם אומדן מחיר ההון העצמי בחברה.</t>
  </si>
  <si>
    <t xml:space="preserve">נדרש ד - הניחו כעת כי המניה נסחרת. נתוני השוק כגון ריבית חסרת סיכון ותוחלת תשואת השוק ידועים. </t>
  </si>
  <si>
    <t xml:space="preserve">החברה ממומנת בהון עצמי בלבד, ושוקלת לבצע פרויקט בתחום פעילות שונה לחלוטין מהתחום בו היא עוסקת. </t>
  </si>
  <si>
    <t xml:space="preserve">חשב החברה טוען שצריך להשתמש בביטא של המניה, ועל בסיסה לחשב את מחיר ההון להיוון תזרימי הפרויקט. </t>
  </si>
  <si>
    <t>האם הוא צודק / טועה? נמקו בקצרה ללא חישוב.</t>
  </si>
  <si>
    <t>אם המניה</t>
  </si>
  <si>
    <t>נסחרת אני</t>
  </si>
  <si>
    <t>יודע מה הסיכון</t>
  </si>
  <si>
    <t>של המניה כרגע</t>
  </si>
  <si>
    <t>כלומר הביטא</t>
  </si>
  <si>
    <t>כלל הנתונים לגבי ריבית חסרת סיכון,</t>
  </si>
  <si>
    <t>תיק השוק וכו׳ - הכל נתון גם</t>
  </si>
  <si>
    <t>אין בעיה לחשב את מחיר ההון העצמי של החברה</t>
  </si>
  <si>
    <t>האם נכון</t>
  </si>
  <si>
    <t>להוון תזרימי פרויקט</t>
  </si>
  <si>
    <t>בתחום פעילות שונה לחלוטין</t>
  </si>
  <si>
    <t>מזה שבו החברה עוסקת</t>
  </si>
  <si>
    <t>על בסיס הביטא הקיימת שלה?</t>
  </si>
  <si>
    <t>ממש לא!</t>
  </si>
  <si>
    <t>הרי הביטא משקפת רמת סיכון.</t>
  </si>
  <si>
    <t>אם הפרויקט הוא בתחום שונה לחלוטין,</t>
  </si>
  <si>
    <t>הרי שרמת הסיכון הגלומה בו שונה;</t>
  </si>
  <si>
    <t>ולכן כדי להעריך אותו לא נוכל להתבסס על הביטא של מניית החברה המשקפת סיכון קיים בפרויקטים אחרים בתחומים לא רלוונטיים;</t>
  </si>
  <si>
    <t xml:space="preserve">אלא נצטרך להעריך את הביטא השונה המתאימה לתחום הפעילות השונה, ועל בסיסה להעריך את מחיר ההון להיוון תזרימי הפרויקט. </t>
  </si>
  <si>
    <t>שאלה 3 - מודיליאני ומילר - מבנה ההון, מחיר ההון, שווי החברה</t>
  </si>
  <si>
    <t>כזכור לכולנו, נושא מודיליאני ומילר (המודל של הסוכריות - M&amp;M) הוא מודל המניח הנחות מסוימות שבכפוף להן,</t>
  </si>
  <si>
    <t xml:space="preserve">מחיר ההון הכולל של החברה WACC מושפע / לא מושפע (כתלות במסים או היעדרם) מדרגת המינוף הפיננסי - </t>
  </si>
  <si>
    <t>שיעור המימון מבוסס החוב.</t>
  </si>
  <si>
    <t>באופן כללי - בכל חברה קיים סיכון עסקי / תפעולי הנובע מעצם פעילותה.</t>
  </si>
  <si>
    <t>כלומר: גם אם בחברה יש 0% מימון בחוב, 100% הון עצמי, עדיין קיים סיכון שנובע מהמתחרים,</t>
  </si>
  <si>
    <t xml:space="preserve">מהרגולציה, ממחירי התשומות והתנודתיות בהם. </t>
  </si>
  <si>
    <t xml:space="preserve">יחד עם זאת / בנוסף: אם חברה נוטלת על עצמה חוב (מימון באמצעות אג״ח / הלוואות), אזי לסיכון עסקי בסיסי </t>
  </si>
  <si>
    <t xml:space="preserve">זה מתווסף סיכון נוסף / תוספתי הנובע מהחוב - סיכון פיננסי. </t>
  </si>
  <si>
    <t xml:space="preserve">בחברה ללא מנוף פיננסי / ממומנת בהון עצמי בלבד &gt;&gt;&gt;&gt; סיכון =  סיכון עסקי / תפעולי. </t>
  </si>
  <si>
    <t>בחברה עם מנוף פיננסי / ממומנת בחוב ולא רק בהון עצמי &gt;&gt;&gt;&gt; סיכון = סיכון עסקי / תפעולי + הסיכון הפיננסי.</t>
  </si>
  <si>
    <t>המודל מניח שלא מתחולל שינוי בסיכון עסקי כתוצאה מנטילת הלוואות, אלא רק בסיכון הפיננסי, והוא קובע</t>
  </si>
  <si>
    <t xml:space="preserve">מספר עקרונות שאותם נדגים באמצעות השאלות מטה. </t>
  </si>
  <si>
    <t>חברת ״אביאל״ ממומנת בהון עצמי בלבד.</t>
  </si>
  <si>
    <t>חברת ״חנן וקרנות ההון״ ממומנת בחלקים שווים של הון עצמי והון זר / התחייבויות.</t>
  </si>
  <si>
    <t>שתי החברות הן בעלות סדר גודל זהה, פועלות במדינות זהות, כפופות לחקיקה זהה, והפעילות העסקית שלהן</t>
  </si>
  <si>
    <t xml:space="preserve">דומה מאד. </t>
  </si>
  <si>
    <t xml:space="preserve">כמו כן, שתי החברות זכו לפטור ממס במדינה שבה הן פועלות. </t>
  </si>
  <si>
    <t>נדרש: מהו ההבדל במחיר ההון הכולל WACC של החברות? על מה תבססו את תשובתכם?</t>
  </si>
  <si>
    <t>המודל הרלוונטי שדן בהשפעות של מינוף פיננסי על מחיר ההון הכולל (בהנחת סיכון עסקי / תפעולי זהה) הוא מודל</t>
  </si>
  <si>
    <t xml:space="preserve">מודיליאני ומילר. </t>
  </si>
  <si>
    <t>בהתאם להנחות המודל, כאשר מתמנפים פיננסית (משנים את הרכב ההון באופן שכולל יותר חוב ופחות הון עצמי)</t>
  </si>
  <si>
    <t>התשואה הנדרשת על ההון העצמי (מחיר ההון העצמי) - גדל.</t>
  </si>
  <si>
    <t xml:space="preserve">מממנים חלק גדול יותר מהחברה בהון זר ״זול״ (כי המודל מניח שאין סיכון פשיטת רגל). </t>
  </si>
  <si>
    <r>
      <t xml:space="preserve">ובסך הכל - בעולם </t>
    </r>
    <r>
      <rPr>
        <b/>
        <sz val="12"/>
        <color theme="1"/>
        <rFont val="David"/>
      </rPr>
      <t>ללא מס</t>
    </r>
    <r>
      <rPr>
        <sz val="12"/>
        <color theme="1"/>
        <rFont val="David"/>
      </rPr>
      <t xml:space="preserve"> (וללא סיכון פשיטת רגל כאמור): ההשפעות הללו מתקזזות לחלוטין</t>
    </r>
  </si>
  <si>
    <t xml:space="preserve">כך שמחיר ההון הכולל WACC הוא בלתי תלוי במינוף / היעדרו. </t>
  </si>
  <si>
    <t>בקצרה: לפי M&amp;M בהיעדר מסים וסיכון פשיטת רגל, מחיר ההון הכולל של חברות בעלות סיכון</t>
  </si>
  <si>
    <t xml:space="preserve">תפעולי זהה הנבדלות זו מזו רק במבנה ההון שלהן - יהיה זהה. </t>
  </si>
  <si>
    <t>נדרש ב:</t>
  </si>
  <si>
    <t xml:space="preserve">בהמשך לנדרש א, הניחו כעת כי שתי החברות כפופות למס חברות בשיעור זהה. </t>
  </si>
  <si>
    <t xml:space="preserve">לאיזה מבין החברות מחיר הון כולל WACC גבוה יותר? נמקו. </t>
  </si>
  <si>
    <t xml:space="preserve">אביאל: </t>
  </si>
  <si>
    <t>הון עצמי</t>
  </si>
  <si>
    <t>חנן והקרנות:</t>
  </si>
  <si>
    <t>ממונפת,</t>
  </si>
  <si>
    <t>כוללת רכיב חוב</t>
  </si>
  <si>
    <t>סיכון תפעולי זהה</t>
  </si>
  <si>
    <t>ללא סיכון פשיטת רגל</t>
  </si>
  <si>
    <t>עם מסים</t>
  </si>
  <si>
    <t>לפי מודל M&amp;M בעולם עם מסים ללא סיכון פשיטת רגל, מינוף פיננסי:</t>
  </si>
  <si>
    <t>מגדיל את התשואה הנדרשת על ידי בעלי המניות</t>
  </si>
  <si>
    <t>מגדיל את המשקל של הון זר - זול - שגם מקבל מגן מס על הריבית (מה שמוזיל אותו עוד יותר)</t>
  </si>
  <si>
    <t xml:space="preserve">מחיר ההון הכולל יקטן בסך הכל (בהתאם להנחות M&amp;M במצב כזה, בעולם עם מס). </t>
  </si>
  <si>
    <t>לכן לחברת חנן מחיר הון כולל נמוך יותר / לחברת אביאל מחיר הון כולל גבוה יותר.</t>
  </si>
  <si>
    <t>נדרש ג:</t>
  </si>
  <si>
    <t>בהמשך לנדרש ב (עולם ללא פשיטת רגל, עם מסים, וסיכון תפעולי זהה של החברות) - ידוע שחברת חנן בדקה ומצאה</t>
  </si>
  <si>
    <t>שכדאי לה לבצע פרויקט מסויים (פרויקט חימום נקניק). האם נוכל לומר שגם חברת אביאל תראה פרויקט זה ככדאי?</t>
  </si>
  <si>
    <t>נמקו בקצרה.</t>
  </si>
  <si>
    <t>חברת חנן - הפרויקט כדאי. חנן היא החברה הממונפת, ומחיר ההון שלה יהיה יותר נמוך (כי יש מסים).</t>
  </si>
  <si>
    <t>המשמעות: שיש כאן חברה עם מחיר הון נמוך יחסית, שחישבה ומצאה שה-NPV של הפרויקט חיובי.</t>
  </si>
  <si>
    <t>בחברת אביאל - מחיר ההון WACC של החברה יותר גבוה.</t>
  </si>
  <si>
    <t>לכן כדאיות הפרויקט פוחתת. בהינתן הירידה בכדאיות והיעדר נתונים מספריים, לא נוכל לדעת האם הירידה</t>
  </si>
  <si>
    <t xml:space="preserve">בכדאיות אכן מובילה לחוסר כדאיות / ענ״נ שלילי או לא. </t>
  </si>
  <si>
    <t>לכן, בשורה התחתונה: החברה המקבילה הלא ממונפת - רואה בפרויקט ערך נמוך יותר, וללא מידע כמותי</t>
  </si>
  <si>
    <t>לא נוכל לדעת האם כדאי לבצעו או לא מבחינתה.</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</si>
</sst>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3">
    <numFmt numFmtId="8" formatCode="&quot;₪&quot;#,##0.00_);[Red]\(&quot;₪&quot;#,##0.00\)"/>
    <numFmt numFmtId="43" formatCode="_(* #,##0.00_);_(* \(#,##0.00\);_(* &quot;-&quot;??_);_(@_)"/>
    <numFmt numFmtId="164" formatCode="&quot;$&quot;#,##0.00_);[Red]\(&quot;$&quot;#,##0.00\)"/>
    <numFmt numFmtId="165" formatCode="0.000%"/>
    <numFmt numFmtId="166" formatCode="0.000"/>
    <numFmt numFmtId="167" formatCode="0.00000"/>
    <numFmt numFmtId="168" formatCode="0.0000%"/>
    <numFmt numFmtId="169" formatCode="0.0"/>
    <numFmt numFmtId="170" formatCode="0.0%"/>
    <numFmt numFmtId="171" formatCode="0.00000%"/>
    <numFmt numFmtId="172" formatCode="#,##0.0"/>
    <numFmt numFmtId="173" formatCode="0.00_);[Red]\(0.00\)"/>
    <numFmt numFmtId="174" formatCode="#,##0.000_);\(#,##0.000\)"/>
  </numFmts>
  <fonts count="54" x14ac:knownFonts="1">
    <font>
      <sz val="12"/>
      <color theme="1"/>
      <name val="Calibri"/>
      <family val="2"/>
      <scheme val="minor"/>
    </font>
    <font>
      <sz val="12"/>
      <color theme="1"/>
      <name val="David"/>
    </font>
    <font>
      <b/>
      <sz val="12"/>
      <color theme="1"/>
      <name val="David"/>
    </font>
    <font>
      <b/>
      <sz val="12"/>
      <color rgb="FFFF0000"/>
      <name val="David"/>
    </font>
    <font>
      <sz val="12"/>
      <color theme="0"/>
      <name val="David"/>
    </font>
    <font>
      <sz val="12"/>
      <name val="David"/>
    </font>
    <font>
      <b/>
      <sz val="12"/>
      <name val="David"/>
    </font>
    <font>
      <sz val="12"/>
      <color rgb="FFFF0000"/>
      <name val="David"/>
    </font>
    <font>
      <sz val="12"/>
      <color theme="1"/>
      <name val="Calibri"/>
      <family val="2"/>
      <scheme val="minor"/>
    </font>
    <font>
      <u/>
      <sz val="12"/>
      <color theme="1"/>
      <name val="David"/>
    </font>
    <font>
      <b/>
      <sz val="14"/>
      <color rgb="FFFF0000"/>
      <name val="David"/>
    </font>
    <font>
      <b/>
      <u/>
      <sz val="12"/>
      <color theme="1"/>
      <name val="David"/>
    </font>
    <font>
      <b/>
      <sz val="11"/>
      <color theme="1"/>
      <name val="David"/>
    </font>
    <font>
      <b/>
      <sz val="16"/>
      <name val="David"/>
    </font>
    <font>
      <b/>
      <sz val="18"/>
      <color theme="1"/>
      <name val="David"/>
    </font>
    <font>
      <u/>
      <sz val="12"/>
      <name val="David"/>
    </font>
    <font>
      <u/>
      <sz val="12"/>
      <color rgb="FFFF0000"/>
      <name val="David"/>
    </font>
    <font>
      <sz val="12"/>
      <color rgb="FF00B050"/>
      <name val="David"/>
    </font>
    <font>
      <b/>
      <sz val="12"/>
      <color rgb="FF00B050"/>
      <name val="David"/>
    </font>
    <font>
      <b/>
      <sz val="12"/>
      <color rgb="FF0070C0"/>
      <name val="David"/>
    </font>
    <font>
      <b/>
      <u/>
      <sz val="12"/>
      <color rgb="FF0070C0"/>
      <name val="David"/>
    </font>
    <font>
      <sz val="10"/>
      <color theme="1"/>
      <name val="David"/>
    </font>
    <font>
      <b/>
      <sz val="10"/>
      <color theme="1"/>
      <name val="David"/>
    </font>
    <font>
      <sz val="11"/>
      <color theme="1"/>
      <name val="Cambria Math"/>
      <family val="1"/>
    </font>
    <font>
      <sz val="12"/>
      <color theme="8" tint="-0.249977111117893"/>
      <name val="David"/>
    </font>
    <font>
      <sz val="12"/>
      <color rgb="FF0070C0"/>
      <name val="David"/>
    </font>
    <font>
      <b/>
      <sz val="12"/>
      <color rgb="FF000000"/>
      <name val="David"/>
    </font>
    <font>
      <sz val="12"/>
      <color rgb="FF000000"/>
      <name val="David"/>
    </font>
    <font>
      <u/>
      <sz val="12"/>
      <color rgb="FF000000"/>
      <name val="David"/>
    </font>
    <font>
      <b/>
      <sz val="12"/>
      <color theme="0"/>
      <name val="David"/>
    </font>
    <font>
      <b/>
      <u/>
      <sz val="12"/>
      <color rgb="FFFF0000"/>
      <name val="David"/>
    </font>
    <font>
      <b/>
      <sz val="12"/>
      <color rgb="FF7030A0"/>
      <name val="David"/>
    </font>
    <font>
      <b/>
      <sz val="16"/>
      <color theme="1"/>
      <name val="David"/>
    </font>
    <font>
      <sz val="12"/>
      <color theme="4" tint="-0.249977111117893"/>
      <name val="David"/>
    </font>
    <font>
      <sz val="20"/>
      <color theme="1"/>
      <name val="David"/>
    </font>
    <font>
      <b/>
      <u/>
      <sz val="12"/>
      <name val="David"/>
    </font>
    <font>
      <sz val="16"/>
      <name val="David"/>
    </font>
    <font>
      <sz val="10"/>
      <color rgb="FF0070C0"/>
      <name val="David"/>
    </font>
    <font>
      <sz val="9"/>
      <color theme="1"/>
      <name val="David"/>
    </font>
    <font>
      <sz val="12"/>
      <color rgb="FF00B0F0"/>
      <name val="David"/>
    </font>
    <font>
      <sz val="18"/>
      <color theme="1"/>
      <name val="David"/>
    </font>
    <font>
      <b/>
      <sz val="12"/>
      <color rgb="FF00B0F0"/>
      <name val="David"/>
    </font>
    <font>
      <sz val="12"/>
      <color rgb="FF7030A0"/>
      <name val="David"/>
    </font>
    <font>
      <b/>
      <sz val="12"/>
      <color rgb="FFFF85FF"/>
      <name val="David"/>
    </font>
    <font>
      <b/>
      <sz val="12"/>
      <color rgb="FFFF40FF"/>
      <name val="David"/>
    </font>
    <font>
      <i/>
      <sz val="12"/>
      <color theme="4" tint="-0.249977111117893"/>
      <name val="David"/>
    </font>
    <font>
      <sz val="12"/>
      <color theme="2" tint="-0.249977111117893"/>
      <name val="David"/>
    </font>
    <font>
      <i/>
      <sz val="12"/>
      <color theme="1"/>
      <name val="David"/>
    </font>
    <font>
      <b/>
      <sz val="18"/>
      <name val="David"/>
    </font>
    <font>
      <sz val="10"/>
      <name val="David"/>
    </font>
    <font>
      <b/>
      <sz val="22"/>
      <name val="David"/>
    </font>
    <font>
      <b/>
      <sz val="14"/>
      <color theme="1"/>
      <name val="David"/>
    </font>
    <font>
      <sz val="12"/>
      <name val="Calibri"/>
      <family val="2"/>
      <scheme val="minor"/>
    </font>
    <font>
      <sz val="8"/>
      <color theme="1"/>
      <name val="David"/>
    </font>
  </fonts>
  <fills count="32">
    <fill>
      <patternFill patternType="none"/>
    </fill>
    <fill>
      <patternFill patternType="gray125"/>
    </fill>
    <fill>
      <patternFill patternType="solid">
        <fgColor rgb="FFFFFF00"/>
        <bgColor indexed="64"/>
      </patternFill>
    </fill>
    <fill>
      <patternFill patternType="solid">
        <fgColor theme="4" tint="0.79998168889431442"/>
        <bgColor indexed="64"/>
      </patternFill>
    </fill>
    <fill>
      <patternFill patternType="solid">
        <fgColor theme="1"/>
        <bgColor indexed="64"/>
      </patternFill>
    </fill>
    <fill>
      <patternFill patternType="solid">
        <fgColor rgb="FF92D050"/>
        <bgColor indexed="64"/>
      </patternFill>
    </fill>
    <fill>
      <patternFill patternType="solid">
        <fgColor rgb="FFFFC000"/>
        <bgColor indexed="64"/>
      </patternFill>
    </fill>
    <fill>
      <patternFill patternType="solid">
        <fgColor theme="2"/>
        <bgColor indexed="64"/>
      </patternFill>
    </fill>
    <fill>
      <patternFill patternType="solid">
        <fgColor theme="7"/>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theme="9" tint="0.79998168889431442"/>
        <bgColor indexed="64"/>
      </patternFill>
    </fill>
    <fill>
      <patternFill patternType="solid">
        <fgColor theme="2" tint="-9.9978637043366805E-2"/>
        <bgColor indexed="64"/>
      </patternFill>
    </fill>
    <fill>
      <patternFill patternType="solid">
        <fgColor theme="7" tint="0.39997558519241921"/>
        <bgColor indexed="64"/>
      </patternFill>
    </fill>
    <fill>
      <patternFill patternType="solid">
        <fgColor theme="9" tint="0.59999389629810485"/>
        <bgColor indexed="64"/>
      </patternFill>
    </fill>
    <fill>
      <patternFill patternType="solid">
        <fgColor theme="4" tint="0.59999389629810485"/>
        <bgColor indexed="64"/>
      </patternFill>
    </fill>
    <fill>
      <patternFill patternType="solid">
        <fgColor theme="0" tint="-0.14999847407452621"/>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BDD7EE"/>
        <bgColor rgb="FF000000"/>
      </patternFill>
    </fill>
    <fill>
      <patternFill patternType="solid">
        <fgColor rgb="FFFFFF00"/>
        <bgColor rgb="FF000000"/>
      </patternFill>
    </fill>
    <fill>
      <patternFill patternType="solid">
        <fgColor rgb="FFC6E0B4"/>
        <bgColor rgb="FF000000"/>
      </patternFill>
    </fill>
    <fill>
      <patternFill patternType="solid">
        <fgColor theme="8" tint="0.59999389629810485"/>
        <bgColor indexed="64"/>
      </patternFill>
    </fill>
    <fill>
      <patternFill patternType="solid">
        <fgColor rgb="FFE5678B"/>
        <bgColor indexed="64"/>
      </patternFill>
    </fill>
    <fill>
      <patternFill patternType="solid">
        <fgColor rgb="FF00FA00"/>
        <bgColor indexed="64"/>
      </patternFill>
    </fill>
    <fill>
      <patternFill patternType="solid">
        <fgColor rgb="FF73FB79"/>
        <bgColor indexed="64"/>
      </patternFill>
    </fill>
    <fill>
      <patternFill patternType="solid">
        <fgColor theme="0"/>
        <bgColor indexed="64"/>
      </patternFill>
    </fill>
    <fill>
      <patternFill patternType="solid">
        <fgColor theme="3" tint="0.79998168889431442"/>
        <bgColor indexed="64"/>
      </patternFill>
    </fill>
    <fill>
      <patternFill patternType="solid">
        <fgColor theme="5" tint="0.39997558519241921"/>
        <bgColor indexed="64"/>
      </patternFill>
    </fill>
    <fill>
      <patternFill patternType="solid">
        <fgColor rgb="FFFF85FF"/>
        <bgColor indexed="64"/>
      </patternFill>
    </fill>
    <fill>
      <patternFill patternType="solid">
        <fgColor rgb="FFFF8AD8"/>
        <bgColor indexed="64"/>
      </patternFill>
    </fill>
    <fill>
      <patternFill patternType="solid">
        <fgColor theme="9" tint="0.39997558519241921"/>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right/>
      <top style="thin">
        <color auto="1"/>
      </top>
      <bottom style="dashed">
        <color auto="1"/>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style="medium">
        <color indexed="64"/>
      </left>
      <right style="medium">
        <color indexed="64"/>
      </right>
      <top/>
      <bottom/>
      <diagonal/>
    </border>
  </borders>
  <cellStyleXfs count="2">
    <xf numFmtId="0" fontId="0" fillId="0" borderId="0"/>
    <xf numFmtId="9" fontId="8" fillId="0" borderId="0" applyFont="0" applyFill="0" applyBorder="0" applyAlignment="0" applyProtection="0"/>
  </cellStyleXfs>
  <cellXfs count="620">
    <xf numFmtId="0" fontId="0" fillId="0" borderId="0" xfId="0"/>
    <xf numFmtId="0" fontId="1" fillId="0" borderId="0" xfId="0" applyFont="1"/>
    <xf numFmtId="0" fontId="1" fillId="2" borderId="0" xfId="0" applyFont="1" applyFill="1"/>
    <xf numFmtId="0" fontId="2" fillId="2" borderId="0" xfId="0" applyFont="1" applyFill="1"/>
    <xf numFmtId="0" fontId="2" fillId="0" borderId="0" xfId="0" applyFont="1"/>
    <xf numFmtId="0" fontId="2" fillId="3" borderId="0" xfId="0" applyFont="1" applyFill="1"/>
    <xf numFmtId="0" fontId="1" fillId="3" borderId="0" xfId="0" applyFont="1" applyFill="1"/>
    <xf numFmtId="0" fontId="4" fillId="0" borderId="0" xfId="0" applyFont="1"/>
    <xf numFmtId="0" fontId="5" fillId="0" borderId="0" xfId="0" applyFont="1"/>
    <xf numFmtId="9" fontId="5" fillId="0" borderId="0" xfId="0" applyNumberFormat="1" applyFont="1"/>
    <xf numFmtId="4" fontId="5" fillId="2" borderId="0" xfId="0" applyNumberFormat="1" applyFont="1" applyFill="1"/>
    <xf numFmtId="9" fontId="1" fillId="0" borderId="0" xfId="0" applyNumberFormat="1" applyFont="1"/>
    <xf numFmtId="3" fontId="1" fillId="0" borderId="0" xfId="0" applyNumberFormat="1" applyFont="1"/>
    <xf numFmtId="0" fontId="3" fillId="0" borderId="0" xfId="0" applyFont="1"/>
    <xf numFmtId="0" fontId="6" fillId="0" borderId="0" xfId="0" applyFont="1"/>
    <xf numFmtId="0" fontId="7" fillId="0" borderId="0" xfId="0" applyFont="1"/>
    <xf numFmtId="0" fontId="1" fillId="0" borderId="1" xfId="0" applyFont="1" applyBorder="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14" fontId="1" fillId="0" borderId="0" xfId="0" applyNumberFormat="1" applyFont="1"/>
    <xf numFmtId="0" fontId="1" fillId="0" borderId="9" xfId="0" applyFont="1" applyBorder="1"/>
    <xf numFmtId="4" fontId="1" fillId="2" borderId="0" xfId="0" applyNumberFormat="1" applyFont="1" applyFill="1"/>
    <xf numFmtId="0" fontId="1" fillId="4" borderId="0" xfId="0" applyFont="1" applyFill="1"/>
    <xf numFmtId="4" fontId="1" fillId="0" borderId="0" xfId="0" applyNumberFormat="1" applyFont="1"/>
    <xf numFmtId="0" fontId="5" fillId="0" borderId="2" xfId="0" applyFont="1" applyBorder="1"/>
    <xf numFmtId="0" fontId="5" fillId="0" borderId="3" xfId="0" applyFont="1" applyBorder="1"/>
    <xf numFmtId="0" fontId="5" fillId="0" borderId="4" xfId="0" applyFont="1" applyBorder="1"/>
    <xf numFmtId="0" fontId="5" fillId="0" borderId="5" xfId="0" applyFont="1" applyBorder="1"/>
    <xf numFmtId="0" fontId="5" fillId="0" borderId="6" xfId="0" applyFont="1" applyBorder="1"/>
    <xf numFmtId="0" fontId="5" fillId="0" borderId="7" xfId="0" applyFont="1" applyBorder="1"/>
    <xf numFmtId="0" fontId="5" fillId="0" borderId="8" xfId="0" applyFont="1" applyBorder="1"/>
    <xf numFmtId="10" fontId="1" fillId="2" borderId="0" xfId="0" applyNumberFormat="1" applyFont="1" applyFill="1"/>
    <xf numFmtId="0" fontId="1" fillId="0" borderId="0" xfId="0" applyFont="1" applyAlignment="1">
      <alignment horizontal="center"/>
    </xf>
    <xf numFmtId="0" fontId="1" fillId="7" borderId="0" xfId="0" applyFont="1" applyFill="1"/>
    <xf numFmtId="0" fontId="1" fillId="0" borderId="9" xfId="0" applyFont="1" applyBorder="1" applyAlignment="1">
      <alignment horizontal="center"/>
    </xf>
    <xf numFmtId="9" fontId="1" fillId="0" borderId="0" xfId="0" applyNumberFormat="1" applyFont="1" applyAlignment="1">
      <alignment horizontal="center"/>
    </xf>
    <xf numFmtId="0" fontId="1" fillId="0" borderId="0" xfId="0" applyFont="1" applyAlignment="1">
      <alignment horizontal="left"/>
    </xf>
    <xf numFmtId="8" fontId="1" fillId="0" borderId="0" xfId="0" applyNumberFormat="1" applyFont="1"/>
    <xf numFmtId="10" fontId="1" fillId="0" borderId="0" xfId="0" applyNumberFormat="1" applyFont="1"/>
    <xf numFmtId="10" fontId="1" fillId="0" borderId="0" xfId="0" applyNumberFormat="1" applyFont="1" applyAlignment="1">
      <alignment horizontal="center"/>
    </xf>
    <xf numFmtId="0" fontId="3" fillId="7" borderId="0" xfId="0" applyFont="1" applyFill="1"/>
    <xf numFmtId="14" fontId="2" fillId="2" borderId="0" xfId="0" applyNumberFormat="1" applyFont="1" applyFill="1"/>
    <xf numFmtId="0" fontId="2" fillId="9" borderId="0" xfId="0" applyFont="1" applyFill="1"/>
    <xf numFmtId="0" fontId="1" fillId="9" borderId="0" xfId="0" applyFont="1" applyFill="1"/>
    <xf numFmtId="0" fontId="2" fillId="10" borderId="0" xfId="0" applyFont="1" applyFill="1"/>
    <xf numFmtId="0" fontId="1" fillId="10" borderId="0" xfId="0" applyFont="1" applyFill="1"/>
    <xf numFmtId="0" fontId="2" fillId="11" borderId="0" xfId="0" applyFont="1" applyFill="1"/>
    <xf numFmtId="0" fontId="1" fillId="11" borderId="0" xfId="0" applyFont="1" applyFill="1"/>
    <xf numFmtId="0" fontId="1" fillId="0" borderId="0" xfId="0" applyFont="1" applyAlignment="1">
      <alignment horizontal="right"/>
    </xf>
    <xf numFmtId="0" fontId="1" fillId="5" borderId="0" xfId="0" applyFont="1" applyFill="1"/>
    <xf numFmtId="0" fontId="9" fillId="0" borderId="0" xfId="0" applyFont="1"/>
    <xf numFmtId="0" fontId="1" fillId="0" borderId="9" xfId="0" applyFont="1" applyBorder="1" applyAlignment="1">
      <alignment wrapText="1"/>
    </xf>
    <xf numFmtId="0" fontId="2" fillId="0" borderId="1" xfId="0" applyFont="1" applyBorder="1"/>
    <xf numFmtId="4" fontId="1" fillId="2" borderId="13" xfId="0" applyNumberFormat="1" applyFont="1" applyFill="1" applyBorder="1"/>
    <xf numFmtId="0" fontId="4" fillId="0" borderId="0" xfId="0" applyFont="1" applyAlignment="1">
      <alignment horizontal="center"/>
    </xf>
    <xf numFmtId="0" fontId="4" fillId="4" borderId="0" xfId="0" applyFont="1" applyFill="1"/>
    <xf numFmtId="0" fontId="4" fillId="4" borderId="0" xfId="0" applyFont="1" applyFill="1" applyAlignment="1">
      <alignment horizontal="center"/>
    </xf>
    <xf numFmtId="0" fontId="5" fillId="0" borderId="0" xfId="0" applyFont="1" applyAlignment="1">
      <alignment horizontal="center"/>
    </xf>
    <xf numFmtId="0" fontId="12" fillId="0" borderId="0" xfId="0" applyFont="1"/>
    <xf numFmtId="0" fontId="5" fillId="2" borderId="0" xfId="0" applyFont="1" applyFill="1"/>
    <xf numFmtId="9" fontId="5" fillId="0" borderId="0" xfId="0" applyNumberFormat="1" applyFont="1" applyAlignment="1">
      <alignment horizontal="center"/>
    </xf>
    <xf numFmtId="4" fontId="5" fillId="2" borderId="0" xfId="0" applyNumberFormat="1" applyFont="1" applyFill="1" applyAlignment="1">
      <alignment horizontal="center"/>
    </xf>
    <xf numFmtId="0" fontId="1" fillId="0" borderId="2" xfId="0" applyFont="1" applyBorder="1" applyAlignment="1">
      <alignment horizontal="center"/>
    </xf>
    <xf numFmtId="0" fontId="1" fillId="0" borderId="7" xfId="0" applyFont="1" applyBorder="1" applyAlignment="1">
      <alignment horizontal="center"/>
    </xf>
    <xf numFmtId="0" fontId="1" fillId="0" borderId="7" xfId="0" applyFont="1" applyBorder="1" applyAlignment="1">
      <alignment horizontal="right"/>
    </xf>
    <xf numFmtId="9" fontId="5" fillId="2" borderId="0" xfId="0" applyNumberFormat="1" applyFont="1" applyFill="1" applyAlignment="1">
      <alignment horizontal="center"/>
    </xf>
    <xf numFmtId="9" fontId="5" fillId="6" borderId="0" xfId="0" applyNumberFormat="1" applyFont="1" applyFill="1" applyAlignment="1">
      <alignment horizontal="center"/>
    </xf>
    <xf numFmtId="9" fontId="5" fillId="5" borderId="0" xfId="0" applyNumberFormat="1" applyFont="1" applyFill="1" applyAlignment="1">
      <alignment horizontal="center"/>
    </xf>
    <xf numFmtId="4" fontId="5" fillId="0" borderId="0" xfId="0" applyNumberFormat="1" applyFont="1" applyAlignment="1">
      <alignment horizontal="center"/>
    </xf>
    <xf numFmtId="9" fontId="5" fillId="8" borderId="0" xfId="0" applyNumberFormat="1" applyFont="1" applyFill="1" applyAlignment="1">
      <alignment horizontal="center"/>
    </xf>
    <xf numFmtId="0" fontId="2" fillId="0" borderId="0" xfId="0" applyFont="1" applyAlignment="1">
      <alignment horizontal="right" readingOrder="2"/>
    </xf>
    <xf numFmtId="14" fontId="1" fillId="0" borderId="0" xfId="0" applyNumberFormat="1" applyFont="1" applyAlignment="1">
      <alignment horizontal="center"/>
    </xf>
    <xf numFmtId="40" fontId="1" fillId="0" borderId="0" xfId="0" applyNumberFormat="1" applyFont="1" applyAlignment="1">
      <alignment horizontal="center"/>
    </xf>
    <xf numFmtId="38" fontId="1" fillId="0" borderId="0" xfId="0" applyNumberFormat="1" applyFont="1" applyAlignment="1">
      <alignment horizontal="center"/>
    </xf>
    <xf numFmtId="14" fontId="5" fillId="0" borderId="0" xfId="0" applyNumberFormat="1" applyFont="1"/>
    <xf numFmtId="14" fontId="5" fillId="2" borderId="0" xfId="0" applyNumberFormat="1" applyFont="1" applyFill="1"/>
    <xf numFmtId="0" fontId="2" fillId="7" borderId="0" xfId="0" applyFont="1" applyFill="1"/>
    <xf numFmtId="9" fontId="5" fillId="0" borderId="0" xfId="1" applyFont="1"/>
    <xf numFmtId="165" fontId="1" fillId="0" borderId="0" xfId="1" applyNumberFormat="1" applyFont="1"/>
    <xf numFmtId="167" fontId="5" fillId="0" borderId="0" xfId="0" applyNumberFormat="1" applyFont="1"/>
    <xf numFmtId="10" fontId="5" fillId="0" borderId="0" xfId="0" applyNumberFormat="1" applyFont="1"/>
    <xf numFmtId="2" fontId="4" fillId="0" borderId="0" xfId="0" applyNumberFormat="1" applyFont="1"/>
    <xf numFmtId="0" fontId="1" fillId="0" borderId="0" xfId="0" applyFont="1" applyAlignment="1">
      <alignment wrapText="1"/>
    </xf>
    <xf numFmtId="10" fontId="2" fillId="2" borderId="0" xfId="1" applyNumberFormat="1" applyFont="1" applyFill="1"/>
    <xf numFmtId="165" fontId="2" fillId="2" borderId="0" xfId="1" applyNumberFormat="1" applyFont="1" applyFill="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5" fillId="2" borderId="0" xfId="0" applyFont="1" applyFill="1" applyAlignment="1">
      <alignment horizontal="center"/>
    </xf>
    <xf numFmtId="14" fontId="6" fillId="0" borderId="0" xfId="0" applyNumberFormat="1" applyFont="1"/>
    <xf numFmtId="0" fontId="6" fillId="2" borderId="0" xfId="0" applyFont="1" applyFill="1" applyAlignment="1">
      <alignment horizontal="center"/>
    </xf>
    <xf numFmtId="8" fontId="5" fillId="0" borderId="0" xfId="0" applyNumberFormat="1" applyFont="1"/>
    <xf numFmtId="8" fontId="5" fillId="0" borderId="0" xfId="0" quotePrefix="1" applyNumberFormat="1" applyFont="1"/>
    <xf numFmtId="0" fontId="5" fillId="0" borderId="10" xfId="0" applyFont="1" applyBorder="1"/>
    <xf numFmtId="0" fontId="5" fillId="0" borderId="11" xfId="0" applyFont="1" applyBorder="1"/>
    <xf numFmtId="0" fontId="6" fillId="0" borderId="1" xfId="0" applyFont="1" applyBorder="1"/>
    <xf numFmtId="0" fontId="6" fillId="0" borderId="4" xfId="0" applyFont="1" applyBorder="1"/>
    <xf numFmtId="0" fontId="6" fillId="0" borderId="6" xfId="0" applyFont="1" applyBorder="1"/>
    <xf numFmtId="0" fontId="5" fillId="4" borderId="0" xfId="0" applyFont="1" applyFill="1" applyAlignment="1">
      <alignment horizontal="center"/>
    </xf>
    <xf numFmtId="0" fontId="5" fillId="4" borderId="0" xfId="0" applyFont="1" applyFill="1"/>
    <xf numFmtId="0" fontId="6" fillId="4" borderId="0" xfId="0" applyFont="1" applyFill="1" applyAlignment="1">
      <alignment horizontal="center"/>
    </xf>
    <xf numFmtId="0" fontId="5" fillId="0" borderId="9" xfId="0" applyFont="1" applyBorder="1" applyAlignment="1">
      <alignment horizontal="center"/>
    </xf>
    <xf numFmtId="0" fontId="5" fillId="7" borderId="0" xfId="0" applyFont="1" applyFill="1"/>
    <xf numFmtId="0" fontId="6" fillId="7" borderId="0" xfId="0" applyFont="1" applyFill="1"/>
    <xf numFmtId="1" fontId="5" fillId="0" borderId="0" xfId="0" applyNumberFormat="1" applyFont="1" applyAlignment="1">
      <alignment horizontal="center"/>
    </xf>
    <xf numFmtId="8" fontId="6" fillId="0" borderId="0" xfId="0" applyNumberFormat="1" applyFont="1"/>
    <xf numFmtId="10" fontId="5" fillId="0" borderId="0" xfId="0" applyNumberFormat="1" applyFont="1" applyAlignment="1">
      <alignment horizontal="center"/>
    </xf>
    <xf numFmtId="10" fontId="1" fillId="2" borderId="0" xfId="0" applyNumberFormat="1" applyFont="1" applyFill="1" applyAlignment="1">
      <alignment horizontal="center"/>
    </xf>
    <xf numFmtId="165" fontId="5" fillId="0" borderId="0" xfId="0" applyNumberFormat="1" applyFont="1"/>
    <xf numFmtId="9" fontId="1" fillId="0" borderId="0" xfId="1" applyFont="1"/>
    <xf numFmtId="1" fontId="1" fillId="0" borderId="0" xfId="1" applyNumberFormat="1" applyFont="1"/>
    <xf numFmtId="169" fontId="1" fillId="0" borderId="0" xfId="1" applyNumberFormat="1" applyFont="1"/>
    <xf numFmtId="2" fontId="2" fillId="2" borderId="0" xfId="1" applyNumberFormat="1" applyFont="1" applyFill="1"/>
    <xf numFmtId="0" fontId="1" fillId="0" borderId="0" xfId="0" applyFont="1" applyAlignment="1">
      <alignment horizontal="right" readingOrder="2"/>
    </xf>
    <xf numFmtId="0" fontId="1" fillId="2" borderId="0" xfId="0" applyFont="1" applyFill="1" applyAlignment="1">
      <alignment horizontal="center"/>
    </xf>
    <xf numFmtId="2" fontId="1" fillId="0" borderId="0" xfId="0" applyNumberFormat="1" applyFont="1"/>
    <xf numFmtId="2" fontId="5" fillId="0" borderId="0" xfId="0" applyNumberFormat="1" applyFont="1"/>
    <xf numFmtId="0" fontId="4" fillId="0" borderId="2" xfId="0" applyFont="1" applyBorder="1"/>
    <xf numFmtId="0" fontId="2" fillId="0" borderId="2" xfId="0" applyFont="1" applyBorder="1"/>
    <xf numFmtId="0" fontId="2" fillId="0" borderId="4" xfId="0" applyFont="1" applyBorder="1"/>
    <xf numFmtId="0" fontId="2" fillId="0" borderId="6" xfId="0" applyFont="1" applyBorder="1"/>
    <xf numFmtId="0" fontId="2" fillId="0" borderId="7" xfId="0" applyFont="1" applyBorder="1"/>
    <xf numFmtId="9" fontId="1" fillId="0" borderId="0" xfId="0" applyNumberFormat="1" applyFont="1" applyAlignment="1">
      <alignment horizontal="left"/>
    </xf>
    <xf numFmtId="3" fontId="1" fillId="0" borderId="0" xfId="0" applyNumberFormat="1" applyFont="1" applyAlignment="1">
      <alignment horizontal="center"/>
    </xf>
    <xf numFmtId="9" fontId="1" fillId="0" borderId="0" xfId="1" applyFont="1" applyAlignment="1">
      <alignment horizontal="center"/>
    </xf>
    <xf numFmtId="0" fontId="1" fillId="12" borderId="0" xfId="0" applyFont="1" applyFill="1" applyAlignment="1">
      <alignment horizontal="center"/>
    </xf>
    <xf numFmtId="0" fontId="2" fillId="0" borderId="9" xfId="0" applyFont="1" applyBorder="1"/>
    <xf numFmtId="0" fontId="1" fillId="0" borderId="13" xfId="0" applyFont="1" applyBorder="1" applyAlignment="1">
      <alignment horizontal="center"/>
    </xf>
    <xf numFmtId="0" fontId="4" fillId="0" borderId="4" xfId="0" applyFont="1" applyBorder="1"/>
    <xf numFmtId="0" fontId="4" fillId="0" borderId="5" xfId="0" applyFont="1" applyBorder="1"/>
    <xf numFmtId="14" fontId="1" fillId="0" borderId="4" xfId="0" applyNumberFormat="1" applyFont="1" applyBorder="1"/>
    <xf numFmtId="0" fontId="5" fillId="0" borderId="0" xfId="0" quotePrefix="1" applyFont="1"/>
    <xf numFmtId="14" fontId="5" fillId="0" borderId="4" xfId="0" applyNumberFormat="1" applyFont="1" applyBorder="1"/>
    <xf numFmtId="14" fontId="5" fillId="3" borderId="4" xfId="0" applyNumberFormat="1" applyFont="1" applyFill="1" applyBorder="1"/>
    <xf numFmtId="14" fontId="5" fillId="2" borderId="4" xfId="0" applyNumberFormat="1" applyFont="1" applyFill="1" applyBorder="1"/>
    <xf numFmtId="14" fontId="1" fillId="3" borderId="4" xfId="0" applyNumberFormat="1" applyFont="1" applyFill="1" applyBorder="1"/>
    <xf numFmtId="167" fontId="5" fillId="0" borderId="0" xfId="0" applyNumberFormat="1" applyFont="1" applyAlignment="1">
      <alignment horizontal="center"/>
    </xf>
    <xf numFmtId="2" fontId="3" fillId="0" borderId="0" xfId="0" applyNumberFormat="1" applyFont="1"/>
    <xf numFmtId="4" fontId="3" fillId="0" borderId="0" xfId="0" applyNumberFormat="1" applyFont="1" applyAlignment="1">
      <alignment horizontal="center"/>
    </xf>
    <xf numFmtId="10" fontId="5" fillId="0" borderId="0" xfId="1" applyNumberFormat="1" applyFont="1" applyBorder="1"/>
    <xf numFmtId="10" fontId="5" fillId="2" borderId="7" xfId="1" applyNumberFormat="1" applyFont="1" applyFill="1" applyBorder="1"/>
    <xf numFmtId="0" fontId="2" fillId="0" borderId="10" xfId="0" applyFont="1" applyBorder="1"/>
    <xf numFmtId="0" fontId="2" fillId="0" borderId="11" xfId="0" applyFont="1" applyBorder="1"/>
    <xf numFmtId="0" fontId="1" fillId="0" borderId="11" xfId="0" applyFont="1" applyBorder="1"/>
    <xf numFmtId="0" fontId="1" fillId="0" borderId="12" xfId="0" applyFont="1" applyBorder="1"/>
    <xf numFmtId="0" fontId="1" fillId="14" borderId="0" xfId="0" applyFont="1" applyFill="1"/>
    <xf numFmtId="0" fontId="2" fillId="14" borderId="0" xfId="0" applyFont="1" applyFill="1"/>
    <xf numFmtId="0" fontId="1" fillId="0" borderId="10" xfId="0" applyFont="1" applyBorder="1" applyAlignment="1">
      <alignment horizontal="center"/>
    </xf>
    <xf numFmtId="0" fontId="1" fillId="0" borderId="11" xfId="0" applyFont="1" applyBorder="1" applyAlignment="1">
      <alignment horizontal="center"/>
    </xf>
    <xf numFmtId="0" fontId="1" fillId="0" borderId="12" xfId="0" applyFont="1" applyBorder="1" applyAlignment="1">
      <alignment horizontal="center"/>
    </xf>
    <xf numFmtId="0" fontId="1" fillId="16" borderId="0" xfId="0" applyFont="1" applyFill="1" applyAlignment="1">
      <alignment horizontal="center"/>
    </xf>
    <xf numFmtId="0" fontId="2" fillId="0" borderId="0" xfId="0" applyFont="1" applyAlignment="1">
      <alignment horizontal="center"/>
    </xf>
    <xf numFmtId="166" fontId="17" fillId="0" borderId="0" xfId="0" applyNumberFormat="1" applyFont="1" applyAlignment="1">
      <alignment horizontal="center"/>
    </xf>
    <xf numFmtId="166" fontId="1" fillId="2" borderId="0" xfId="0" applyNumberFormat="1" applyFont="1" applyFill="1"/>
    <xf numFmtId="2" fontId="1" fillId="2" borderId="0" xfId="0" applyNumberFormat="1" applyFont="1" applyFill="1"/>
    <xf numFmtId="0" fontId="19" fillId="0" borderId="0" xfId="0" applyFont="1"/>
    <xf numFmtId="0" fontId="7" fillId="0" borderId="9" xfId="0" applyFont="1" applyBorder="1"/>
    <xf numFmtId="0" fontId="7" fillId="0" borderId="0" xfId="0" applyFont="1" applyAlignment="1">
      <alignment horizontal="right"/>
    </xf>
    <xf numFmtId="0" fontId="2" fillId="0" borderId="0" xfId="0" applyFont="1" applyAlignment="1">
      <alignment horizontal="right"/>
    </xf>
    <xf numFmtId="0" fontId="2" fillId="2" borderId="0" xfId="0" applyFont="1" applyFill="1" applyAlignment="1">
      <alignment horizontal="right"/>
    </xf>
    <xf numFmtId="2" fontId="2" fillId="0" borderId="0" xfId="0" applyNumberFormat="1" applyFont="1" applyAlignment="1">
      <alignment horizontal="center"/>
    </xf>
    <xf numFmtId="0" fontId="1" fillId="2" borderId="13" xfId="0" applyFont="1" applyFill="1" applyBorder="1"/>
    <xf numFmtId="0" fontId="1" fillId="7" borderId="13" xfId="0" applyFont="1" applyFill="1" applyBorder="1"/>
    <xf numFmtId="0" fontId="23" fillId="0" borderId="0" xfId="0" applyFont="1" applyAlignment="1">
      <alignment horizontal="center"/>
    </xf>
    <xf numFmtId="170" fontId="1" fillId="2" borderId="0" xfId="0" applyNumberFormat="1" applyFont="1" applyFill="1"/>
    <xf numFmtId="166" fontId="1" fillId="0" borderId="0" xfId="0" applyNumberFormat="1" applyFont="1"/>
    <xf numFmtId="2" fontId="1" fillId="2" borderId="0" xfId="0" applyNumberFormat="1" applyFont="1" applyFill="1" applyAlignment="1">
      <alignment horizontal="center"/>
    </xf>
    <xf numFmtId="3" fontId="1" fillId="2" borderId="0" xfId="0" applyNumberFormat="1" applyFont="1" applyFill="1"/>
    <xf numFmtId="166" fontId="1" fillId="0" borderId="0" xfId="0" applyNumberFormat="1" applyFont="1" applyAlignment="1">
      <alignment horizontal="center"/>
    </xf>
    <xf numFmtId="4" fontId="2" fillId="2" borderId="0" xfId="0" applyNumberFormat="1" applyFont="1" applyFill="1"/>
    <xf numFmtId="0" fontId="1" fillId="17" borderId="0" xfId="0" applyFont="1" applyFill="1"/>
    <xf numFmtId="165" fontId="1" fillId="2" borderId="0" xfId="1" applyNumberFormat="1" applyFont="1" applyFill="1"/>
    <xf numFmtId="0" fontId="24" fillId="0" borderId="0" xfId="0" applyFont="1"/>
    <xf numFmtId="0" fontId="21" fillId="0" borderId="0" xfId="0" applyFont="1" applyAlignment="1">
      <alignment horizontal="center"/>
    </xf>
    <xf numFmtId="0" fontId="5" fillId="9" borderId="0" xfId="0" applyFont="1" applyFill="1" applyAlignment="1">
      <alignment horizontal="center"/>
    </xf>
    <xf numFmtId="0" fontId="5" fillId="3" borderId="0" xfId="0" applyFont="1" applyFill="1" applyAlignment="1">
      <alignment horizontal="center"/>
    </xf>
    <xf numFmtId="2" fontId="5" fillId="3" borderId="0" xfId="0" applyNumberFormat="1" applyFont="1" applyFill="1" applyAlignment="1">
      <alignment horizontal="center"/>
    </xf>
    <xf numFmtId="166" fontId="5" fillId="11" borderId="0" xfId="0" applyNumberFormat="1" applyFont="1" applyFill="1" applyAlignment="1">
      <alignment horizontal="center"/>
    </xf>
    <xf numFmtId="0" fontId="2" fillId="0" borderId="12" xfId="0" applyFont="1" applyBorder="1"/>
    <xf numFmtId="0" fontId="1" fillId="2" borderId="1" xfId="0" applyFont="1" applyFill="1" applyBorder="1" applyAlignment="1">
      <alignment horizontal="center"/>
    </xf>
    <xf numFmtId="14" fontId="1" fillId="2" borderId="2" xfId="0" applyNumberFormat="1" applyFont="1" applyFill="1" applyBorder="1"/>
    <xf numFmtId="0" fontId="1" fillId="2" borderId="2" xfId="0" applyFont="1" applyFill="1" applyBorder="1"/>
    <xf numFmtId="0" fontId="1" fillId="2" borderId="4" xfId="0" applyFont="1" applyFill="1" applyBorder="1" applyAlignment="1">
      <alignment horizontal="center"/>
    </xf>
    <xf numFmtId="0" fontId="1" fillId="2" borderId="5" xfId="0" applyFont="1" applyFill="1" applyBorder="1"/>
    <xf numFmtId="0" fontId="1" fillId="9" borderId="1" xfId="0" applyFont="1" applyFill="1" applyBorder="1" applyAlignment="1">
      <alignment horizontal="center"/>
    </xf>
    <xf numFmtId="14" fontId="1" fillId="9" borderId="2" xfId="0" applyNumberFormat="1" applyFont="1" applyFill="1" applyBorder="1"/>
    <xf numFmtId="0" fontId="1" fillId="9" borderId="2" xfId="0" applyFont="1" applyFill="1" applyBorder="1"/>
    <xf numFmtId="0" fontId="1" fillId="9" borderId="4" xfId="0" applyFont="1" applyFill="1" applyBorder="1" applyAlignment="1">
      <alignment horizontal="center"/>
    </xf>
    <xf numFmtId="0" fontId="1" fillId="9" borderId="5" xfId="0" applyFont="1" applyFill="1" applyBorder="1"/>
    <xf numFmtId="0" fontId="1" fillId="9" borderId="6" xfId="0" applyFont="1" applyFill="1" applyBorder="1" applyAlignment="1">
      <alignment horizontal="center"/>
    </xf>
    <xf numFmtId="0" fontId="1" fillId="9" borderId="7" xfId="0" applyFont="1" applyFill="1" applyBorder="1"/>
    <xf numFmtId="0" fontId="1" fillId="9" borderId="8" xfId="0" applyFont="1" applyFill="1" applyBorder="1"/>
    <xf numFmtId="0" fontId="1" fillId="13" borderId="1" xfId="0" applyFont="1" applyFill="1" applyBorder="1" applyAlignment="1">
      <alignment horizontal="center"/>
    </xf>
    <xf numFmtId="14" fontId="1" fillId="13" borderId="2" xfId="0" applyNumberFormat="1" applyFont="1" applyFill="1" applyBorder="1"/>
    <xf numFmtId="0" fontId="1" fillId="13" borderId="2" xfId="0" applyFont="1" applyFill="1" applyBorder="1"/>
    <xf numFmtId="0" fontId="1" fillId="13" borderId="4" xfId="0" applyFont="1" applyFill="1" applyBorder="1" applyAlignment="1">
      <alignment horizontal="center"/>
    </xf>
    <xf numFmtId="0" fontId="1" fillId="13" borderId="5" xfId="0" applyFont="1" applyFill="1" applyBorder="1"/>
    <xf numFmtId="0" fontId="1" fillId="13" borderId="6" xfId="0" applyFont="1" applyFill="1" applyBorder="1" applyAlignment="1">
      <alignment horizontal="center"/>
    </xf>
    <xf numFmtId="0" fontId="1" fillId="13" borderId="7" xfId="0" applyFont="1" applyFill="1" applyBorder="1"/>
    <xf numFmtId="0" fontId="1" fillId="13" borderId="8" xfId="0" applyFont="1" applyFill="1" applyBorder="1"/>
    <xf numFmtId="0" fontId="1" fillId="15" borderId="1" xfId="0" applyFont="1" applyFill="1" applyBorder="1" applyAlignment="1">
      <alignment horizontal="center"/>
    </xf>
    <xf numFmtId="14" fontId="1" fillId="15" borderId="2" xfId="0" applyNumberFormat="1" applyFont="1" applyFill="1" applyBorder="1"/>
    <xf numFmtId="0" fontId="1" fillId="15" borderId="2" xfId="0" applyFont="1" applyFill="1" applyBorder="1"/>
    <xf numFmtId="0" fontId="1" fillId="15" borderId="4" xfId="0" applyFont="1" applyFill="1" applyBorder="1" applyAlignment="1">
      <alignment horizontal="center"/>
    </xf>
    <xf numFmtId="0" fontId="1" fillId="15" borderId="5" xfId="0" applyFont="1" applyFill="1" applyBorder="1"/>
    <xf numFmtId="0" fontId="1" fillId="15" borderId="6" xfId="0" applyFont="1" applyFill="1" applyBorder="1"/>
    <xf numFmtId="0" fontId="1" fillId="15" borderId="7" xfId="0" applyFont="1" applyFill="1" applyBorder="1"/>
    <xf numFmtId="0" fontId="1" fillId="15" borderId="8" xfId="0" applyFont="1" applyFill="1" applyBorder="1"/>
    <xf numFmtId="0" fontId="1" fillId="18" borderId="1" xfId="0" applyFont="1" applyFill="1" applyBorder="1" applyAlignment="1">
      <alignment horizontal="center"/>
    </xf>
    <xf numFmtId="14" fontId="1" fillId="18" borderId="2" xfId="0" applyNumberFormat="1" applyFont="1" applyFill="1" applyBorder="1" applyAlignment="1">
      <alignment horizontal="right"/>
    </xf>
    <xf numFmtId="0" fontId="1" fillId="18" borderId="2" xfId="0" applyFont="1" applyFill="1" applyBorder="1" applyAlignment="1">
      <alignment horizontal="right"/>
    </xf>
    <xf numFmtId="0" fontId="1" fillId="18" borderId="4" xfId="0" applyFont="1" applyFill="1" applyBorder="1" applyAlignment="1">
      <alignment horizontal="right"/>
    </xf>
    <xf numFmtId="0" fontId="1" fillId="18" borderId="5" xfId="0" applyFont="1" applyFill="1" applyBorder="1" applyAlignment="1">
      <alignment horizontal="right"/>
    </xf>
    <xf numFmtId="0" fontId="1" fillId="18" borderId="6" xfId="0" applyFont="1" applyFill="1" applyBorder="1" applyAlignment="1">
      <alignment horizontal="right"/>
    </xf>
    <xf numFmtId="14" fontId="1" fillId="18" borderId="7" xfId="0" applyNumberFormat="1" applyFont="1" applyFill="1" applyBorder="1" applyAlignment="1">
      <alignment horizontal="right"/>
    </xf>
    <xf numFmtId="0" fontId="1" fillId="18" borderId="7" xfId="0" applyFont="1" applyFill="1" applyBorder="1" applyAlignment="1">
      <alignment horizontal="right"/>
    </xf>
    <xf numFmtId="0" fontId="1" fillId="18" borderId="8" xfId="0" applyFont="1" applyFill="1" applyBorder="1" applyAlignment="1">
      <alignment horizontal="right"/>
    </xf>
    <xf numFmtId="0" fontId="27" fillId="0" borderId="0" xfId="0" applyFont="1" applyAlignment="1">
      <alignment readingOrder="2"/>
    </xf>
    <xf numFmtId="0" fontId="27" fillId="0" borderId="0" xfId="0" applyFont="1" applyAlignment="1">
      <alignment readingOrder="1"/>
    </xf>
    <xf numFmtId="0" fontId="26" fillId="0" borderId="0" xfId="0" applyFont="1" applyAlignment="1">
      <alignment readingOrder="1"/>
    </xf>
    <xf numFmtId="0" fontId="26" fillId="0" borderId="0" xfId="0" applyFont="1" applyAlignment="1">
      <alignment readingOrder="2"/>
    </xf>
    <xf numFmtId="0" fontId="26" fillId="19" borderId="0" xfId="0" applyFont="1" applyFill="1" applyAlignment="1">
      <alignment readingOrder="2"/>
    </xf>
    <xf numFmtId="0" fontId="26" fillId="19" borderId="0" xfId="0" applyFont="1" applyFill="1" applyAlignment="1">
      <alignment readingOrder="1"/>
    </xf>
    <xf numFmtId="0" fontId="27" fillId="0" borderId="9" xfId="0" applyFont="1" applyBorder="1" applyAlignment="1">
      <alignment horizontal="center" readingOrder="2"/>
    </xf>
    <xf numFmtId="0" fontId="27" fillId="0" borderId="0" xfId="0" applyFont="1" applyAlignment="1">
      <alignment horizontal="center" readingOrder="1"/>
    </xf>
    <xf numFmtId="43" fontId="27" fillId="0" borderId="0" xfId="0" applyNumberFormat="1" applyFont="1" applyAlignment="1">
      <alignment readingOrder="1"/>
    </xf>
    <xf numFmtId="2" fontId="27" fillId="20" borderId="0" xfId="0" applyNumberFormat="1" applyFont="1" applyFill="1" applyAlignment="1">
      <alignment horizontal="center" readingOrder="1"/>
    </xf>
    <xf numFmtId="0" fontId="3" fillId="0" borderId="0" xfId="0" applyFont="1" applyAlignment="1">
      <alignment readingOrder="2"/>
    </xf>
    <xf numFmtId="0" fontId="27" fillId="0" borderId="11" xfId="0" applyFont="1" applyBorder="1" applyAlignment="1">
      <alignment readingOrder="1"/>
    </xf>
    <xf numFmtId="170" fontId="19" fillId="0" borderId="0" xfId="0" applyNumberFormat="1" applyFont="1" applyAlignment="1">
      <alignment horizontal="center" readingOrder="1"/>
    </xf>
    <xf numFmtId="165" fontId="27" fillId="0" borderId="0" xfId="0" applyNumberFormat="1" applyFont="1" applyAlignment="1">
      <alignment readingOrder="1"/>
    </xf>
    <xf numFmtId="10" fontId="19" fillId="0" borderId="0" xfId="0" applyNumberFormat="1" applyFont="1" applyAlignment="1">
      <alignment horizontal="center" readingOrder="1"/>
    </xf>
    <xf numFmtId="0" fontId="27" fillId="0" borderId="9" xfId="0" applyFont="1" applyBorder="1" applyAlignment="1">
      <alignment readingOrder="2"/>
    </xf>
    <xf numFmtId="169" fontId="27" fillId="20" borderId="0" xfId="0" applyNumberFormat="1" applyFont="1" applyFill="1" applyAlignment="1">
      <alignment readingOrder="1"/>
    </xf>
    <xf numFmtId="3" fontId="27" fillId="20" borderId="0" xfId="0" applyNumberFormat="1" applyFont="1" applyFill="1" applyAlignment="1">
      <alignment readingOrder="1"/>
    </xf>
    <xf numFmtId="0" fontId="27" fillId="0" borderId="0" xfId="0" applyFont="1" applyAlignment="1">
      <alignment horizontal="center" readingOrder="2"/>
    </xf>
    <xf numFmtId="3" fontId="27" fillId="21" borderId="0" xfId="0" applyNumberFormat="1" applyFont="1" applyFill="1" applyAlignment="1">
      <alignment readingOrder="1"/>
    </xf>
    <xf numFmtId="3" fontId="27" fillId="0" borderId="0" xfId="0" applyNumberFormat="1" applyFont="1" applyAlignment="1">
      <alignment horizontal="center" readingOrder="1"/>
    </xf>
    <xf numFmtId="0" fontId="2" fillId="22" borderId="0" xfId="0" applyFont="1" applyFill="1"/>
    <xf numFmtId="165" fontId="1" fillId="0" borderId="0" xfId="0" applyNumberFormat="1" applyFont="1"/>
    <xf numFmtId="3" fontId="3" fillId="0" borderId="0" xfId="0" applyNumberFormat="1" applyFont="1"/>
    <xf numFmtId="0" fontId="2" fillId="0" borderId="3" xfId="0" applyFont="1" applyBorder="1"/>
    <xf numFmtId="0" fontId="2" fillId="0" borderId="5" xfId="0" applyFont="1" applyBorder="1"/>
    <xf numFmtId="0" fontId="2" fillId="0" borderId="8" xfId="0" applyFont="1" applyBorder="1"/>
    <xf numFmtId="0" fontId="4" fillId="23" borderId="2" xfId="0" applyFont="1" applyFill="1" applyBorder="1"/>
    <xf numFmtId="0" fontId="4" fillId="23" borderId="3" xfId="0" applyFont="1" applyFill="1" applyBorder="1"/>
    <xf numFmtId="0" fontId="4" fillId="23" borderId="0" xfId="0" applyFont="1" applyFill="1"/>
    <xf numFmtId="0" fontId="4" fillId="23" borderId="5" xfId="0" applyFont="1" applyFill="1" applyBorder="1"/>
    <xf numFmtId="0" fontId="4" fillId="23" borderId="7" xfId="0" applyFont="1" applyFill="1" applyBorder="1"/>
    <xf numFmtId="0" fontId="4" fillId="23" borderId="8" xfId="0" applyFont="1" applyFill="1" applyBorder="1"/>
    <xf numFmtId="171" fontId="1" fillId="2" borderId="10" xfId="1" applyNumberFormat="1" applyFont="1" applyFill="1" applyBorder="1"/>
    <xf numFmtId="0" fontId="1" fillId="2" borderId="12" xfId="0" applyFont="1" applyFill="1" applyBorder="1" applyAlignment="1">
      <alignment horizontal="right"/>
    </xf>
    <xf numFmtId="171" fontId="1" fillId="0" borderId="0" xfId="1" applyNumberFormat="1" applyFont="1"/>
    <xf numFmtId="10" fontId="27" fillId="0" borderId="0" xfId="0" applyNumberFormat="1" applyFont="1" applyAlignment="1">
      <alignment readingOrder="1"/>
    </xf>
    <xf numFmtId="10" fontId="1" fillId="2" borderId="0" xfId="1" applyNumberFormat="1" applyFont="1" applyFill="1"/>
    <xf numFmtId="0" fontId="25" fillId="0" borderId="0" xfId="0" applyFont="1"/>
    <xf numFmtId="10" fontId="1" fillId="5" borderId="0" xfId="0" applyNumberFormat="1" applyFont="1" applyFill="1"/>
    <xf numFmtId="9" fontId="1" fillId="3" borderId="0" xfId="0" applyNumberFormat="1" applyFont="1" applyFill="1"/>
    <xf numFmtId="3" fontId="1" fillId="3" borderId="0" xfId="0" applyNumberFormat="1" applyFont="1" applyFill="1"/>
    <xf numFmtId="165" fontId="1" fillId="3" borderId="0" xfId="0" applyNumberFormat="1" applyFont="1" applyFill="1"/>
    <xf numFmtId="0" fontId="27" fillId="0" borderId="13" xfId="0" applyFont="1" applyBorder="1" applyAlignment="1">
      <alignment readingOrder="2"/>
    </xf>
    <xf numFmtId="0" fontId="3" fillId="0" borderId="12" xfId="0" applyFont="1" applyBorder="1" applyAlignment="1">
      <alignment readingOrder="2"/>
    </xf>
    <xf numFmtId="170" fontId="27" fillId="0" borderId="0" xfId="0" applyNumberFormat="1" applyFont="1" applyAlignment="1">
      <alignment readingOrder="1"/>
    </xf>
    <xf numFmtId="10" fontId="27" fillId="2" borderId="0" xfId="0" applyNumberFormat="1" applyFont="1" applyFill="1" applyAlignment="1">
      <alignment readingOrder="1"/>
    </xf>
    <xf numFmtId="9" fontId="2" fillId="2" borderId="0" xfId="0" applyNumberFormat="1" applyFont="1" applyFill="1" applyAlignment="1">
      <alignment horizontal="center"/>
    </xf>
    <xf numFmtId="0" fontId="1" fillId="24" borderId="0" xfId="0" applyFont="1" applyFill="1" applyAlignment="1">
      <alignment horizontal="center"/>
    </xf>
    <xf numFmtId="3" fontId="2" fillId="10" borderId="13" xfId="0" applyNumberFormat="1" applyFont="1" applyFill="1" applyBorder="1"/>
    <xf numFmtId="0" fontId="33" fillId="0" borderId="0" xfId="0" applyFont="1"/>
    <xf numFmtId="0" fontId="18" fillId="0" borderId="0" xfId="0" applyFont="1"/>
    <xf numFmtId="170" fontId="1" fillId="2" borderId="0" xfId="1" applyNumberFormat="1" applyFont="1" applyFill="1"/>
    <xf numFmtId="3" fontId="1" fillId="10" borderId="0" xfId="0" applyNumberFormat="1" applyFont="1" applyFill="1"/>
    <xf numFmtId="0" fontId="3" fillId="14" borderId="0" xfId="0" applyFont="1" applyFill="1"/>
    <xf numFmtId="14" fontId="1" fillId="2" borderId="2" xfId="0" applyNumberFormat="1" applyFont="1" applyFill="1" applyBorder="1" applyAlignment="1">
      <alignment horizontal="center"/>
    </xf>
    <xf numFmtId="0" fontId="2" fillId="18" borderId="0" xfId="0" applyFont="1" applyFill="1"/>
    <xf numFmtId="0" fontId="2" fillId="2" borderId="0" xfId="0" applyFont="1" applyFill="1" applyAlignment="1">
      <alignment readingOrder="2"/>
    </xf>
    <xf numFmtId="0" fontId="2" fillId="0" borderId="0" xfId="0" applyFont="1" applyAlignment="1">
      <alignment readingOrder="2"/>
    </xf>
    <xf numFmtId="0" fontId="1" fillId="0" borderId="0" xfId="0" applyFont="1" applyAlignment="1">
      <alignment readingOrder="2"/>
    </xf>
    <xf numFmtId="0" fontId="1" fillId="0" borderId="0" xfId="0" applyFont="1" applyAlignment="1">
      <alignment horizontal="center" readingOrder="2"/>
    </xf>
    <xf numFmtId="0" fontId="2" fillId="14" borderId="0" xfId="0" applyFont="1" applyFill="1" applyAlignment="1">
      <alignment readingOrder="2"/>
    </xf>
    <xf numFmtId="0" fontId="2" fillId="0" borderId="10" xfId="0" applyFont="1" applyBorder="1" applyAlignment="1">
      <alignment readingOrder="2"/>
    </xf>
    <xf numFmtId="0" fontId="19" fillId="0" borderId="0" xfId="0" applyFont="1" applyAlignment="1">
      <alignment readingOrder="2"/>
    </xf>
    <xf numFmtId="3" fontId="1" fillId="13" borderId="0" xfId="0" applyNumberFormat="1" applyFont="1" applyFill="1" applyAlignment="1">
      <alignment readingOrder="2"/>
    </xf>
    <xf numFmtId="0" fontId="25" fillId="0" borderId="0" xfId="0" applyFont="1" applyAlignment="1">
      <alignment readingOrder="2"/>
    </xf>
    <xf numFmtId="0" fontId="33" fillId="0" borderId="0" xfId="0" applyFont="1" applyAlignment="1">
      <alignment readingOrder="2"/>
    </xf>
    <xf numFmtId="10" fontId="1" fillId="2" borderId="0" xfId="1" applyNumberFormat="1" applyFont="1" applyFill="1" applyAlignment="1">
      <alignment readingOrder="2"/>
    </xf>
    <xf numFmtId="0" fontId="7" fillId="0" borderId="0" xfId="0" applyFont="1" applyAlignment="1">
      <alignment horizontal="center" readingOrder="2"/>
    </xf>
    <xf numFmtId="0" fontId="7" fillId="0" borderId="0" xfId="0" applyFont="1" applyAlignment="1">
      <alignment readingOrder="2"/>
    </xf>
    <xf numFmtId="0" fontId="2" fillId="22" borderId="0" xfId="0" applyFont="1" applyFill="1" applyAlignment="1">
      <alignment readingOrder="2"/>
    </xf>
    <xf numFmtId="0" fontId="2" fillId="7" borderId="0" xfId="0" applyFont="1" applyFill="1" applyAlignment="1">
      <alignment readingOrder="2"/>
    </xf>
    <xf numFmtId="0" fontId="2" fillId="0" borderId="1" xfId="0" applyFont="1" applyBorder="1" applyAlignment="1">
      <alignment readingOrder="2"/>
    </xf>
    <xf numFmtId="0" fontId="2" fillId="0" borderId="4" xfId="0" applyFont="1" applyBorder="1" applyAlignment="1">
      <alignment readingOrder="2"/>
    </xf>
    <xf numFmtId="0" fontId="2" fillId="0" borderId="6" xfId="0" applyFont="1" applyBorder="1" applyAlignment="1">
      <alignment readingOrder="2"/>
    </xf>
    <xf numFmtId="0" fontId="29" fillId="23" borderId="1" xfId="0" applyFont="1" applyFill="1" applyBorder="1" applyAlignment="1">
      <alignment readingOrder="2"/>
    </xf>
    <xf numFmtId="0" fontId="29" fillId="23" borderId="4" xfId="0" applyFont="1" applyFill="1" applyBorder="1" applyAlignment="1">
      <alignment readingOrder="2"/>
    </xf>
    <xf numFmtId="0" fontId="29" fillId="23" borderId="6" xfId="0" applyFont="1" applyFill="1" applyBorder="1" applyAlignment="1">
      <alignment readingOrder="2"/>
    </xf>
    <xf numFmtId="0" fontId="9" fillId="0" borderId="0" xfId="0" applyFont="1" applyAlignment="1">
      <alignment readingOrder="2"/>
    </xf>
    <xf numFmtId="10" fontId="27" fillId="2" borderId="0" xfId="1" applyNumberFormat="1" applyFont="1" applyFill="1" applyAlignment="1">
      <alignment readingOrder="2"/>
    </xf>
    <xf numFmtId="9" fontId="26" fillId="2" borderId="0" xfId="0" applyNumberFormat="1" applyFont="1" applyFill="1" applyAlignment="1">
      <alignment readingOrder="1"/>
    </xf>
    <xf numFmtId="9" fontId="26" fillId="2" borderId="0" xfId="1" applyFont="1" applyFill="1" applyAlignment="1">
      <alignment readingOrder="1"/>
    </xf>
    <xf numFmtId="3" fontId="26" fillId="2" borderId="0" xfId="0" applyNumberFormat="1" applyFont="1" applyFill="1" applyAlignment="1">
      <alignment readingOrder="1"/>
    </xf>
    <xf numFmtId="14" fontId="2" fillId="2" borderId="11" xfId="0" applyNumberFormat="1" applyFont="1" applyFill="1" applyBorder="1" applyAlignment="1">
      <alignment horizontal="center"/>
    </xf>
    <xf numFmtId="9" fontId="1" fillId="0" borderId="7" xfId="0" applyNumberFormat="1" applyFont="1" applyBorder="1"/>
    <xf numFmtId="0" fontId="3" fillId="2" borderId="11" xfId="0" applyFont="1" applyFill="1" applyBorder="1" applyAlignment="1">
      <alignment horizontal="right"/>
    </xf>
    <xf numFmtId="0" fontId="3" fillId="2" borderId="12" xfId="0" applyFont="1" applyFill="1" applyBorder="1" applyAlignment="1">
      <alignment horizontal="right"/>
    </xf>
    <xf numFmtId="0" fontId="1" fillId="2" borderId="3" xfId="0" applyFont="1" applyFill="1" applyBorder="1"/>
    <xf numFmtId="0" fontId="1" fillId="9" borderId="3" xfId="0" applyFont="1" applyFill="1" applyBorder="1"/>
    <xf numFmtId="0" fontId="1" fillId="13" borderId="3" xfId="0" applyFont="1" applyFill="1" applyBorder="1"/>
    <xf numFmtId="0" fontId="1" fillId="13" borderId="0" xfId="0" applyFont="1" applyFill="1"/>
    <xf numFmtId="0" fontId="1" fillId="15" borderId="3" xfId="0" applyFont="1" applyFill="1" applyBorder="1"/>
    <xf numFmtId="0" fontId="1" fillId="15" borderId="0" xfId="0" applyFont="1" applyFill="1"/>
    <xf numFmtId="0" fontId="1" fillId="18" borderId="3" xfId="0" applyFont="1" applyFill="1" applyBorder="1" applyAlignment="1">
      <alignment horizontal="right"/>
    </xf>
    <xf numFmtId="14" fontId="1" fillId="18" borderId="0" xfId="0" applyNumberFormat="1" applyFont="1" applyFill="1" applyAlignment="1">
      <alignment horizontal="right"/>
    </xf>
    <xf numFmtId="0" fontId="1" fillId="18" borderId="0" xfId="0" applyFont="1" applyFill="1" applyAlignment="1">
      <alignment horizontal="right"/>
    </xf>
    <xf numFmtId="14" fontId="1" fillId="2" borderId="0" xfId="0" applyNumberFormat="1" applyFont="1" applyFill="1" applyAlignment="1">
      <alignment horizontal="center"/>
    </xf>
    <xf numFmtId="164" fontId="1" fillId="0" borderId="0" xfId="0" applyNumberFormat="1" applyFont="1"/>
    <xf numFmtId="0" fontId="4" fillId="0" borderId="9" xfId="0" applyFont="1" applyBorder="1"/>
    <xf numFmtId="0" fontId="5" fillId="0" borderId="9" xfId="0" applyFont="1" applyBorder="1"/>
    <xf numFmtId="9" fontId="1" fillId="0" borderId="2" xfId="0" applyNumberFormat="1" applyFont="1" applyBorder="1"/>
    <xf numFmtId="4" fontId="1" fillId="2" borderId="0" xfId="0" applyNumberFormat="1" applyFont="1" applyFill="1" applyAlignment="1">
      <alignment horizontal="center"/>
    </xf>
    <xf numFmtId="4" fontId="1" fillId="2" borderId="13" xfId="0" applyNumberFormat="1" applyFont="1" applyFill="1" applyBorder="1" applyAlignment="1">
      <alignment horizontal="center"/>
    </xf>
    <xf numFmtId="0" fontId="5" fillId="0" borderId="9" xfId="0" applyFont="1" applyBorder="1" applyAlignment="1">
      <alignment wrapText="1"/>
    </xf>
    <xf numFmtId="0" fontId="1" fillId="0" borderId="9" xfId="0" applyFont="1" applyBorder="1" applyAlignment="1">
      <alignment horizontal="right"/>
    </xf>
    <xf numFmtId="3" fontId="1" fillId="0" borderId="9" xfId="0" applyNumberFormat="1" applyFont="1" applyBorder="1" applyAlignment="1">
      <alignment horizontal="center" wrapText="1"/>
    </xf>
    <xf numFmtId="0" fontId="32" fillId="0" borderId="0" xfId="0" applyFont="1"/>
    <xf numFmtId="14" fontId="1" fillId="0" borderId="0" xfId="0" applyNumberFormat="1" applyFont="1" applyAlignment="1">
      <alignment horizontal="right"/>
    </xf>
    <xf numFmtId="9" fontId="1" fillId="24" borderId="0" xfId="1" applyFont="1" applyFill="1"/>
    <xf numFmtId="2" fontId="1" fillId="25" borderId="0" xfId="0" applyNumberFormat="1" applyFont="1" applyFill="1"/>
    <xf numFmtId="14" fontId="27" fillId="0" borderId="0" xfId="0" applyNumberFormat="1" applyFont="1" applyAlignment="1">
      <alignment readingOrder="1"/>
    </xf>
    <xf numFmtId="1" fontId="27" fillId="0" borderId="0" xfId="0" applyNumberFormat="1" applyFont="1" applyAlignment="1">
      <alignment readingOrder="1"/>
    </xf>
    <xf numFmtId="0" fontId="1" fillId="0" borderId="10" xfId="0" applyFont="1" applyBorder="1"/>
    <xf numFmtId="8" fontId="5" fillId="0" borderId="11" xfId="0" applyNumberFormat="1" applyFont="1" applyBorder="1"/>
    <xf numFmtId="0" fontId="5" fillId="0" borderId="12" xfId="0" applyFont="1" applyBorder="1"/>
    <xf numFmtId="8" fontId="5" fillId="0" borderId="0" xfId="0" applyNumberFormat="1" applyFont="1" applyAlignment="1">
      <alignment horizontal="center"/>
    </xf>
    <xf numFmtId="8" fontId="6" fillId="24" borderId="13" xfId="0" applyNumberFormat="1" applyFont="1" applyFill="1" applyBorder="1" applyAlignment="1">
      <alignment horizontal="center"/>
    </xf>
    <xf numFmtId="14" fontId="3" fillId="0" borderId="0" xfId="0" applyNumberFormat="1" applyFont="1"/>
    <xf numFmtId="0" fontId="7" fillId="0" borderId="0" xfId="0" applyFont="1" applyAlignment="1">
      <alignment horizontal="center"/>
    </xf>
    <xf numFmtId="0" fontId="1" fillId="4" borderId="0" xfId="0" applyFont="1" applyFill="1" applyAlignment="1">
      <alignment horizontal="center"/>
    </xf>
    <xf numFmtId="8" fontId="5" fillId="24" borderId="0" xfId="0" applyNumberFormat="1" applyFont="1" applyFill="1"/>
    <xf numFmtId="8" fontId="5" fillId="0" borderId="9" xfId="0" applyNumberFormat="1" applyFont="1" applyBorder="1"/>
    <xf numFmtId="8" fontId="5" fillId="4" borderId="0" xfId="0" applyNumberFormat="1" applyFont="1" applyFill="1"/>
    <xf numFmtId="172" fontId="5" fillId="0" borderId="0" xfId="0" applyNumberFormat="1" applyFont="1" applyAlignment="1">
      <alignment horizontal="center"/>
    </xf>
    <xf numFmtId="172" fontId="5" fillId="2" borderId="0" xfId="0" applyNumberFormat="1" applyFont="1" applyFill="1" applyAlignment="1">
      <alignment horizontal="center"/>
    </xf>
    <xf numFmtId="172" fontId="5" fillId="6" borderId="0" xfId="0" applyNumberFormat="1" applyFont="1" applyFill="1" applyAlignment="1">
      <alignment horizontal="center"/>
    </xf>
    <xf numFmtId="9" fontId="5" fillId="0" borderId="0" xfId="1" applyFont="1" applyAlignment="1">
      <alignment horizontal="center"/>
    </xf>
    <xf numFmtId="8" fontId="5" fillId="0" borderId="12" xfId="0" applyNumberFormat="1" applyFont="1" applyBorder="1"/>
    <xf numFmtId="14" fontId="5" fillId="0" borderId="10" xfId="0" applyNumberFormat="1" applyFont="1" applyBorder="1"/>
    <xf numFmtId="172" fontId="5" fillId="4" borderId="0" xfId="0" applyNumberFormat="1" applyFont="1" applyFill="1" applyAlignment="1">
      <alignment horizontal="center"/>
    </xf>
    <xf numFmtId="2" fontId="5" fillId="2" borderId="0" xfId="0" applyNumberFormat="1" applyFont="1" applyFill="1" applyAlignment="1">
      <alignment horizontal="center"/>
    </xf>
    <xf numFmtId="173" fontId="5" fillId="0" borderId="10" xfId="0" applyNumberFormat="1" applyFont="1" applyBorder="1"/>
    <xf numFmtId="14" fontId="1" fillId="9" borderId="0" xfId="0" applyNumberFormat="1" applyFont="1" applyFill="1"/>
    <xf numFmtId="17" fontId="2" fillId="2" borderId="10" xfId="0" quotePrefix="1" applyNumberFormat="1" applyFont="1" applyFill="1" applyBorder="1" applyAlignment="1">
      <alignment horizontal="center"/>
    </xf>
    <xf numFmtId="0" fontId="5" fillId="0" borderId="1" xfId="0" applyFont="1" applyBorder="1"/>
    <xf numFmtId="8" fontId="5" fillId="0" borderId="2" xfId="0" applyNumberFormat="1" applyFont="1" applyBorder="1"/>
    <xf numFmtId="8" fontId="5" fillId="0" borderId="7" xfId="0" applyNumberFormat="1" applyFont="1" applyBorder="1"/>
    <xf numFmtId="0" fontId="13" fillId="0" borderId="0" xfId="0" applyFont="1"/>
    <xf numFmtId="0" fontId="36" fillId="0" borderId="0" xfId="0" applyFont="1"/>
    <xf numFmtId="8" fontId="36" fillId="0" borderId="0" xfId="0" applyNumberFormat="1" applyFont="1"/>
    <xf numFmtId="1" fontId="5" fillId="2" borderId="0" xfId="0" applyNumberFormat="1" applyFont="1" applyFill="1" applyAlignment="1">
      <alignment horizontal="center"/>
    </xf>
    <xf numFmtId="170" fontId="1" fillId="0" borderId="0" xfId="1" applyNumberFormat="1" applyFont="1"/>
    <xf numFmtId="8" fontId="1" fillId="2" borderId="0" xfId="0" applyNumberFormat="1" applyFont="1" applyFill="1"/>
    <xf numFmtId="1" fontId="5" fillId="4" borderId="0" xfId="0" applyNumberFormat="1" applyFont="1" applyFill="1" applyAlignment="1">
      <alignment horizontal="center"/>
    </xf>
    <xf numFmtId="8" fontId="1" fillId="26" borderId="0" xfId="0" applyNumberFormat="1" applyFont="1" applyFill="1"/>
    <xf numFmtId="0" fontId="0" fillId="0" borderId="11" xfId="0" applyBorder="1"/>
    <xf numFmtId="0" fontId="0" fillId="0" borderId="12" xfId="0" applyBorder="1"/>
    <xf numFmtId="0" fontId="2" fillId="27" borderId="0" xfId="0" applyFont="1" applyFill="1"/>
    <xf numFmtId="0" fontId="27" fillId="4" borderId="0" xfId="0" applyFont="1" applyFill="1" applyAlignment="1">
      <alignment readingOrder="1"/>
    </xf>
    <xf numFmtId="1" fontId="27" fillId="4" borderId="0" xfId="0" applyNumberFormat="1" applyFont="1" applyFill="1" applyAlignment="1">
      <alignment readingOrder="1"/>
    </xf>
    <xf numFmtId="170" fontId="5" fillId="2" borderId="0" xfId="0" applyNumberFormat="1" applyFont="1" applyFill="1" applyAlignment="1">
      <alignment horizontal="center"/>
    </xf>
    <xf numFmtId="0" fontId="6" fillId="0" borderId="5" xfId="0" applyFont="1" applyBorder="1"/>
    <xf numFmtId="9" fontId="5" fillId="17" borderId="0" xfId="0" applyNumberFormat="1" applyFont="1" applyFill="1" applyAlignment="1">
      <alignment horizontal="center"/>
    </xf>
    <xf numFmtId="0" fontId="5" fillId="17" borderId="0" xfId="0" applyFont="1" applyFill="1" applyAlignment="1">
      <alignment horizontal="center"/>
    </xf>
    <xf numFmtId="9" fontId="5" fillId="28" borderId="0" xfId="0" applyNumberFormat="1" applyFont="1" applyFill="1" applyAlignment="1">
      <alignment horizontal="center"/>
    </xf>
    <xf numFmtId="170" fontId="5" fillId="28" borderId="0" xfId="0" applyNumberFormat="1" applyFont="1" applyFill="1" applyAlignment="1">
      <alignment horizontal="center"/>
    </xf>
    <xf numFmtId="0" fontId="5" fillId="28" borderId="0" xfId="0" applyFont="1" applyFill="1" applyAlignment="1">
      <alignment horizontal="center"/>
    </xf>
    <xf numFmtId="9" fontId="5" fillId="24" borderId="0" xfId="0" applyNumberFormat="1" applyFont="1" applyFill="1" applyAlignment="1">
      <alignment horizontal="center"/>
    </xf>
    <xf numFmtId="170" fontId="5" fillId="24" borderId="0" xfId="0" applyNumberFormat="1" applyFont="1" applyFill="1" applyAlignment="1">
      <alignment horizontal="center"/>
    </xf>
    <xf numFmtId="0" fontId="5" fillId="24" borderId="0" xfId="0" applyFont="1" applyFill="1" applyAlignment="1">
      <alignment horizontal="center"/>
    </xf>
    <xf numFmtId="0" fontId="6" fillId="0" borderId="8" xfId="0" applyFont="1" applyBorder="1"/>
    <xf numFmtId="165" fontId="5" fillId="17" borderId="0" xfId="0" applyNumberFormat="1" applyFont="1" applyFill="1" applyAlignment="1">
      <alignment horizontal="center"/>
    </xf>
    <xf numFmtId="10" fontId="5" fillId="2" borderId="0" xfId="1" applyNumberFormat="1" applyFont="1" applyFill="1" applyAlignment="1">
      <alignment horizontal="center"/>
    </xf>
    <xf numFmtId="10" fontId="5" fillId="6" borderId="0" xfId="0" applyNumberFormat="1" applyFont="1" applyFill="1" applyAlignment="1">
      <alignment horizontal="center"/>
    </xf>
    <xf numFmtId="10" fontId="6" fillId="2" borderId="0" xfId="1" applyNumberFormat="1" applyFont="1" applyFill="1" applyAlignment="1">
      <alignment horizontal="center"/>
    </xf>
    <xf numFmtId="0" fontId="37" fillId="0" borderId="0" xfId="0" applyFont="1" applyAlignment="1">
      <alignment horizontal="center"/>
    </xf>
    <xf numFmtId="0" fontId="38" fillId="0" borderId="1" xfId="0" applyFont="1" applyBorder="1"/>
    <xf numFmtId="0" fontId="38" fillId="0" borderId="4" xfId="0" applyFont="1" applyBorder="1"/>
    <xf numFmtId="0" fontId="38" fillId="0" borderId="6" xfId="0" applyFont="1" applyBorder="1"/>
    <xf numFmtId="0" fontId="38" fillId="2" borderId="4" xfId="0" applyFont="1" applyFill="1" applyBorder="1"/>
    <xf numFmtId="3" fontId="1" fillId="0" borderId="0" xfId="1" applyNumberFormat="1" applyFont="1" applyAlignment="1">
      <alignment horizontal="center"/>
    </xf>
    <xf numFmtId="165" fontId="1" fillId="0" borderId="0" xfId="1" applyNumberFormat="1" applyFont="1" applyAlignment="1">
      <alignment horizontal="center"/>
    </xf>
    <xf numFmtId="165" fontId="2" fillId="2" borderId="0" xfId="1" applyNumberFormat="1" applyFont="1" applyFill="1" applyAlignment="1">
      <alignment horizontal="center"/>
    </xf>
    <xf numFmtId="9" fontId="0" fillId="0" borderId="0" xfId="0" applyNumberFormat="1"/>
    <xf numFmtId="0" fontId="1" fillId="0" borderId="17" xfId="0" applyFont="1" applyBorder="1" applyAlignment="1">
      <alignment horizontal="center"/>
    </xf>
    <xf numFmtId="14" fontId="1" fillId="0" borderId="17" xfId="0" applyNumberFormat="1" applyFont="1" applyBorder="1" applyAlignment="1">
      <alignment horizontal="center"/>
    </xf>
    <xf numFmtId="9" fontId="1" fillId="2" borderId="0" xfId="0" applyNumberFormat="1" applyFont="1" applyFill="1" applyAlignment="1">
      <alignment horizontal="center"/>
    </xf>
    <xf numFmtId="0" fontId="3" fillId="3" borderId="0" xfId="0" applyFont="1" applyFill="1"/>
    <xf numFmtId="14" fontId="1" fillId="16" borderId="0" xfId="0" applyNumberFormat="1" applyFont="1" applyFill="1"/>
    <xf numFmtId="0" fontId="1" fillId="16" borderId="0" xfId="0" applyFont="1" applyFill="1"/>
    <xf numFmtId="0" fontId="3" fillId="0" borderId="4" xfId="0" applyFont="1" applyBorder="1"/>
    <xf numFmtId="0" fontId="3" fillId="0" borderId="5" xfId="0" applyFont="1" applyBorder="1"/>
    <xf numFmtId="0" fontId="3" fillId="0" borderId="6" xfId="0" applyFont="1" applyBorder="1"/>
    <xf numFmtId="0" fontId="3" fillId="0" borderId="7" xfId="0" applyFont="1" applyBorder="1"/>
    <xf numFmtId="0" fontId="3" fillId="0" borderId="8" xfId="0" applyFont="1" applyBorder="1"/>
    <xf numFmtId="0" fontId="5" fillId="0" borderId="0" xfId="0" applyFont="1" applyAlignment="1">
      <alignment horizontal="center" vertical="center"/>
    </xf>
    <xf numFmtId="0" fontId="6" fillId="0" borderId="9" xfId="0" applyFont="1" applyBorder="1" applyAlignment="1">
      <alignment horizontal="center"/>
    </xf>
    <xf numFmtId="0" fontId="6" fillId="0" borderId="2" xfId="0" applyFont="1" applyBorder="1"/>
    <xf numFmtId="0" fontId="6" fillId="0" borderId="3" xfId="0" applyFont="1" applyBorder="1"/>
    <xf numFmtId="0" fontId="6" fillId="0" borderId="0" xfId="0" applyFont="1" applyAlignment="1">
      <alignment horizontal="center" vertical="center"/>
    </xf>
    <xf numFmtId="0" fontId="6" fillId="0" borderId="0" xfId="0" applyFont="1" applyAlignment="1">
      <alignment horizontal="center"/>
    </xf>
    <xf numFmtId="0" fontId="6" fillId="0" borderId="7" xfId="0" applyFont="1" applyBorder="1"/>
    <xf numFmtId="0" fontId="2" fillId="13" borderId="0" xfId="0" applyFont="1" applyFill="1"/>
    <xf numFmtId="4" fontId="5" fillId="0" borderId="0" xfId="0" applyNumberFormat="1" applyFont="1"/>
    <xf numFmtId="2" fontId="6" fillId="6" borderId="0" xfId="0" applyNumberFormat="1" applyFont="1" applyFill="1"/>
    <xf numFmtId="10" fontId="2" fillId="6" borderId="0" xfId="0" applyNumberFormat="1" applyFont="1" applyFill="1"/>
    <xf numFmtId="2" fontId="2" fillId="6" borderId="0" xfId="0" applyNumberFormat="1" applyFont="1" applyFill="1"/>
    <xf numFmtId="2" fontId="1" fillId="14" borderId="0" xfId="0" applyNumberFormat="1" applyFont="1" applyFill="1"/>
    <xf numFmtId="0" fontId="2" fillId="13" borderId="7" xfId="0" applyFont="1" applyFill="1" applyBorder="1"/>
    <xf numFmtId="0" fontId="14" fillId="3" borderId="0" xfId="0" applyFont="1" applyFill="1"/>
    <xf numFmtId="168" fontId="5" fillId="0" borderId="0" xfId="1" applyNumberFormat="1" applyFont="1" applyAlignment="1">
      <alignment horizontal="center" vertical="center"/>
    </xf>
    <xf numFmtId="2" fontId="6" fillId="0" borderId="0" xfId="0" applyNumberFormat="1" applyFont="1"/>
    <xf numFmtId="165" fontId="1" fillId="6" borderId="0" xfId="0" applyNumberFormat="1" applyFont="1" applyFill="1"/>
    <xf numFmtId="2" fontId="2" fillId="2" borderId="0" xfId="0" applyNumberFormat="1" applyFont="1" applyFill="1"/>
    <xf numFmtId="0" fontId="32" fillId="0" borderId="10" xfId="0" applyFont="1" applyBorder="1"/>
    <xf numFmtId="0" fontId="2" fillId="12" borderId="0" xfId="0" applyFont="1" applyFill="1"/>
    <xf numFmtId="0" fontId="3" fillId="0" borderId="9" xfId="0" applyFont="1" applyBorder="1" applyAlignment="1">
      <alignment horizontal="center"/>
    </xf>
    <xf numFmtId="0" fontId="3" fillId="0" borderId="0" xfId="0" applyFont="1" applyAlignment="1">
      <alignment horizontal="center"/>
    </xf>
    <xf numFmtId="0" fontId="14" fillId="0" borderId="0" xfId="0" applyFont="1"/>
    <xf numFmtId="0" fontId="40" fillId="0" borderId="0" xfId="0" applyFont="1"/>
    <xf numFmtId="0" fontId="2" fillId="15" borderId="0" xfId="0" applyFont="1" applyFill="1"/>
    <xf numFmtId="0" fontId="1" fillId="7" borderId="0" xfId="0" applyFont="1" applyFill="1" applyAlignment="1">
      <alignment horizontal="center"/>
    </xf>
    <xf numFmtId="0" fontId="38" fillId="0" borderId="0" xfId="0" applyFont="1"/>
    <xf numFmtId="2" fontId="2" fillId="2" borderId="0" xfId="0" applyNumberFormat="1" applyFont="1" applyFill="1" applyAlignment="1">
      <alignment horizontal="center"/>
    </xf>
    <xf numFmtId="0" fontId="1" fillId="2" borderId="9" xfId="0" applyFont="1" applyFill="1" applyBorder="1" applyAlignment="1">
      <alignment horizontal="center"/>
    </xf>
    <xf numFmtId="166" fontId="6" fillId="2" borderId="13" xfId="0" applyNumberFormat="1" applyFont="1" applyFill="1" applyBorder="1" applyAlignment="1">
      <alignment horizontal="center"/>
    </xf>
    <xf numFmtId="2" fontId="2" fillId="24" borderId="0" xfId="0" applyNumberFormat="1" applyFont="1" applyFill="1"/>
    <xf numFmtId="168" fontId="2" fillId="0" borderId="0" xfId="1" applyNumberFormat="1" applyFont="1"/>
    <xf numFmtId="4" fontId="2" fillId="2" borderId="13" xfId="0" applyNumberFormat="1" applyFont="1" applyFill="1" applyBorder="1"/>
    <xf numFmtId="0" fontId="5" fillId="17" borderId="13" xfId="0" applyFont="1" applyFill="1" applyBorder="1"/>
    <xf numFmtId="166" fontId="5" fillId="17" borderId="0" xfId="0" applyNumberFormat="1" applyFont="1" applyFill="1"/>
    <xf numFmtId="9" fontId="1" fillId="17" borderId="0" xfId="0" applyNumberFormat="1" applyFont="1" applyFill="1" applyAlignment="1">
      <alignment horizontal="center"/>
    </xf>
    <xf numFmtId="9" fontId="3" fillId="0" borderId="0" xfId="0" applyNumberFormat="1" applyFont="1"/>
    <xf numFmtId="9" fontId="19" fillId="0" borderId="0" xfId="0" applyNumberFormat="1" applyFont="1"/>
    <xf numFmtId="9" fontId="44" fillId="0" borderId="0" xfId="0" applyNumberFormat="1" applyFont="1"/>
    <xf numFmtId="0" fontId="1" fillId="14" borderId="6" xfId="0" applyFont="1" applyFill="1" applyBorder="1" applyAlignment="1">
      <alignment horizontal="center"/>
    </xf>
    <xf numFmtId="14" fontId="1" fillId="14" borderId="7" xfId="0" applyNumberFormat="1" applyFont="1" applyFill="1" applyBorder="1" applyAlignment="1">
      <alignment horizontal="center"/>
    </xf>
    <xf numFmtId="0" fontId="1" fillId="14" borderId="7" xfId="0" applyFont="1" applyFill="1" applyBorder="1"/>
    <xf numFmtId="0" fontId="1" fillId="14" borderId="8" xfId="0" applyFont="1" applyFill="1" applyBorder="1"/>
    <xf numFmtId="14" fontId="1" fillId="14" borderId="0" xfId="0" applyNumberFormat="1" applyFont="1" applyFill="1" applyAlignment="1">
      <alignment horizontal="center"/>
    </xf>
    <xf numFmtId="0" fontId="1" fillId="14" borderId="1" xfId="0" applyFont="1" applyFill="1" applyBorder="1" applyAlignment="1">
      <alignment horizontal="center"/>
    </xf>
    <xf numFmtId="14" fontId="1" fillId="14" borderId="2" xfId="0" applyNumberFormat="1" applyFont="1" applyFill="1" applyBorder="1" applyAlignment="1">
      <alignment horizontal="center"/>
    </xf>
    <xf numFmtId="0" fontId="1" fillId="14" borderId="2" xfId="0" applyFont="1" applyFill="1" applyBorder="1"/>
    <xf numFmtId="0" fontId="1" fillId="14" borderId="3" xfId="0" applyFont="1" applyFill="1" applyBorder="1"/>
    <xf numFmtId="0" fontId="1" fillId="14" borderId="4" xfId="0" applyFont="1" applyFill="1" applyBorder="1" applyAlignment="1">
      <alignment horizontal="center"/>
    </xf>
    <xf numFmtId="0" fontId="1" fillId="14" borderId="5" xfId="0" applyFont="1" applyFill="1" applyBorder="1"/>
    <xf numFmtId="0" fontId="45" fillId="0" borderId="0" xfId="0" applyFont="1" applyAlignment="1">
      <alignment readingOrder="2"/>
    </xf>
    <xf numFmtId="0" fontId="1" fillId="0" borderId="4" xfId="0" applyFont="1" applyBorder="1" applyAlignment="1">
      <alignment horizontal="center" readingOrder="2"/>
    </xf>
    <xf numFmtId="0" fontId="1" fillId="0" borderId="6" xfId="0" applyFont="1" applyBorder="1" applyAlignment="1">
      <alignment horizontal="center" readingOrder="2"/>
    </xf>
    <xf numFmtId="0" fontId="46" fillId="0" borderId="0" xfId="0" applyFont="1"/>
    <xf numFmtId="0" fontId="2" fillId="14" borderId="7" xfId="0" applyFont="1" applyFill="1" applyBorder="1"/>
    <xf numFmtId="0" fontId="1" fillId="0" borderId="16" xfId="0" applyFont="1" applyBorder="1"/>
    <xf numFmtId="170" fontId="1" fillId="0" borderId="0" xfId="0" applyNumberFormat="1" applyFont="1"/>
    <xf numFmtId="0" fontId="1" fillId="9" borderId="14" xfId="0" applyFont="1" applyFill="1" applyBorder="1"/>
    <xf numFmtId="0" fontId="1" fillId="9" borderId="22" xfId="0" applyFont="1" applyFill="1" applyBorder="1"/>
    <xf numFmtId="0" fontId="1" fillId="9" borderId="15" xfId="0" applyFont="1" applyFill="1" applyBorder="1"/>
    <xf numFmtId="0" fontId="47" fillId="0" borderId="0" xfId="0" applyFont="1"/>
    <xf numFmtId="0" fontId="5" fillId="13" borderId="0" xfId="0" applyFont="1" applyFill="1" applyAlignment="1">
      <alignment horizontal="center"/>
    </xf>
    <xf numFmtId="0" fontId="11" fillId="0" borderId="0" xfId="0" applyFont="1"/>
    <xf numFmtId="0" fontId="5" fillId="17" borderId="0" xfId="0" applyFont="1" applyFill="1"/>
    <xf numFmtId="14" fontId="5" fillId="17" borderId="0" xfId="0" applyNumberFormat="1" applyFont="1" applyFill="1"/>
    <xf numFmtId="0" fontId="21" fillId="0" borderId="4" xfId="0" applyFont="1" applyBorder="1"/>
    <xf numFmtId="8" fontId="5" fillId="24" borderId="13" xfId="0" applyNumberFormat="1" applyFont="1" applyFill="1" applyBorder="1" applyAlignment="1">
      <alignment horizontal="center"/>
    </xf>
    <xf numFmtId="8" fontId="4" fillId="4" borderId="0" xfId="0" applyNumberFormat="1" applyFont="1" applyFill="1"/>
    <xf numFmtId="0" fontId="48" fillId="0" borderId="0" xfId="0" applyFont="1"/>
    <xf numFmtId="0" fontId="48" fillId="0" borderId="9" xfId="0" applyFont="1" applyBorder="1"/>
    <xf numFmtId="8" fontId="48" fillId="0" borderId="9" xfId="0" applyNumberFormat="1" applyFont="1" applyBorder="1"/>
    <xf numFmtId="170" fontId="5" fillId="0" borderId="0" xfId="0" applyNumberFormat="1" applyFont="1" applyAlignment="1">
      <alignment horizontal="center"/>
    </xf>
    <xf numFmtId="0" fontId="2" fillId="16" borderId="0" xfId="0" applyFont="1" applyFill="1"/>
    <xf numFmtId="10" fontId="2" fillId="2" borderId="14" xfId="0" applyNumberFormat="1" applyFont="1" applyFill="1" applyBorder="1" applyAlignment="1">
      <alignment horizontal="center"/>
    </xf>
    <xf numFmtId="10" fontId="2" fillId="0" borderId="15" xfId="0" applyNumberFormat="1" applyFont="1" applyBorder="1" applyAlignment="1">
      <alignment horizontal="center"/>
    </xf>
    <xf numFmtId="165" fontId="5" fillId="0" borderId="0" xfId="0" applyNumberFormat="1" applyFont="1" applyAlignment="1">
      <alignment horizontal="center"/>
    </xf>
    <xf numFmtId="165" fontId="6" fillId="2" borderId="0" xfId="0" applyNumberFormat="1" applyFont="1" applyFill="1" applyAlignment="1">
      <alignment horizontal="center"/>
    </xf>
    <xf numFmtId="0" fontId="5" fillId="3" borderId="0" xfId="0" applyFont="1" applyFill="1"/>
    <xf numFmtId="14" fontId="5" fillId="3" borderId="0" xfId="0" applyNumberFormat="1" applyFont="1" applyFill="1"/>
    <xf numFmtId="0" fontId="6" fillId="3" borderId="0" xfId="0" applyFont="1" applyFill="1" applyAlignment="1">
      <alignment horizontal="center"/>
    </xf>
    <xf numFmtId="165" fontId="5" fillId="2" borderId="14" xfId="1" applyNumberFormat="1" applyFont="1" applyFill="1" applyBorder="1" applyAlignment="1">
      <alignment horizontal="center"/>
    </xf>
    <xf numFmtId="0" fontId="5" fillId="2" borderId="15" xfId="0" applyFont="1" applyFill="1" applyBorder="1" applyAlignment="1">
      <alignment horizontal="center"/>
    </xf>
    <xf numFmtId="14" fontId="1" fillId="2" borderId="0" xfId="0" applyNumberFormat="1" applyFont="1" applyFill="1"/>
    <xf numFmtId="10" fontId="6" fillId="17" borderId="14" xfId="1" applyNumberFormat="1" applyFont="1" applyFill="1" applyBorder="1" applyAlignment="1">
      <alignment horizontal="right"/>
    </xf>
    <xf numFmtId="0" fontId="6" fillId="0" borderId="15" xfId="0" applyFont="1" applyBorder="1"/>
    <xf numFmtId="0" fontId="50" fillId="0" borderId="10" xfId="0" applyFont="1" applyBorder="1"/>
    <xf numFmtId="168" fontId="1" fillId="2" borderId="0" xfId="1" applyNumberFormat="1" applyFont="1" applyFill="1" applyAlignment="1">
      <alignment horizontal="center"/>
    </xf>
    <xf numFmtId="0" fontId="21" fillId="0" borderId="0" xfId="0" applyFont="1"/>
    <xf numFmtId="0" fontId="2" fillId="2" borderId="14" xfId="0" applyFont="1" applyFill="1" applyBorder="1" applyAlignment="1">
      <alignment horizontal="center"/>
    </xf>
    <xf numFmtId="0" fontId="21" fillId="0" borderId="22" xfId="0" applyFont="1" applyBorder="1" applyAlignment="1">
      <alignment horizontal="center"/>
    </xf>
    <xf numFmtId="0" fontId="21" fillId="0" borderId="22" xfId="0" applyFont="1" applyBorder="1"/>
    <xf numFmtId="0" fontId="21" fillId="0" borderId="15" xfId="0" applyFont="1" applyBorder="1"/>
    <xf numFmtId="165" fontId="5" fillId="2" borderId="0" xfId="1" applyNumberFormat="1" applyFont="1" applyFill="1" applyAlignment="1">
      <alignment horizontal="center"/>
    </xf>
    <xf numFmtId="2" fontId="1" fillId="0" borderId="0" xfId="0" applyNumberFormat="1" applyFont="1" applyAlignment="1">
      <alignment horizontal="center"/>
    </xf>
    <xf numFmtId="0" fontId="2" fillId="2" borderId="3" xfId="0" applyFont="1" applyFill="1" applyBorder="1"/>
    <xf numFmtId="0" fontId="1" fillId="0" borderId="14" xfId="0" applyFont="1" applyBorder="1"/>
    <xf numFmtId="0" fontId="1" fillId="0" borderId="22" xfId="0" applyFont="1" applyBorder="1"/>
    <xf numFmtId="0" fontId="1" fillId="0" borderId="15" xfId="0" applyFont="1" applyBorder="1"/>
    <xf numFmtId="2" fontId="1" fillId="9" borderId="0" xfId="0" applyNumberFormat="1" applyFont="1" applyFill="1"/>
    <xf numFmtId="2" fontId="5" fillId="2" borderId="13" xfId="0" applyNumberFormat="1" applyFont="1" applyFill="1" applyBorder="1"/>
    <xf numFmtId="0" fontId="3" fillId="4" borderId="0" xfId="0" applyFont="1" applyFill="1"/>
    <xf numFmtId="165" fontId="1" fillId="2" borderId="0" xfId="0" applyNumberFormat="1" applyFont="1" applyFill="1"/>
    <xf numFmtId="166" fontId="1" fillId="2" borderId="0" xfId="0" applyNumberFormat="1" applyFont="1" applyFill="1" applyAlignment="1">
      <alignment horizontal="center"/>
    </xf>
    <xf numFmtId="165" fontId="1" fillId="0" borderId="0" xfId="0" applyNumberFormat="1" applyFont="1" applyAlignment="1">
      <alignment horizontal="center"/>
    </xf>
    <xf numFmtId="2" fontId="1" fillId="10" borderId="0" xfId="0" applyNumberFormat="1" applyFont="1" applyFill="1"/>
    <xf numFmtId="2" fontId="51" fillId="2" borderId="0" xfId="0" applyNumberFormat="1" applyFont="1" applyFill="1"/>
    <xf numFmtId="2" fontId="1" fillId="29" borderId="0" xfId="0" applyNumberFormat="1" applyFont="1" applyFill="1"/>
    <xf numFmtId="14" fontId="2" fillId="0" borderId="0" xfId="0" applyNumberFormat="1" applyFont="1"/>
    <xf numFmtId="2" fontId="51" fillId="6" borderId="0" xfId="0" applyNumberFormat="1" applyFont="1" applyFill="1"/>
    <xf numFmtId="0" fontId="1" fillId="30" borderId="1" xfId="0" applyFont="1" applyFill="1" applyBorder="1"/>
    <xf numFmtId="0" fontId="1" fillId="30" borderId="6" xfId="0" applyFont="1" applyFill="1" applyBorder="1"/>
    <xf numFmtId="0" fontId="5" fillId="0" borderId="0" xfId="0" applyFont="1" applyAlignment="1">
      <alignment horizontal="right"/>
    </xf>
    <xf numFmtId="0" fontId="1" fillId="0" borderId="14" xfId="0" applyFont="1" applyBorder="1" applyAlignment="1">
      <alignment horizontal="center"/>
    </xf>
    <xf numFmtId="0" fontId="7" fillId="0" borderId="15" xfId="0" applyFont="1" applyBorder="1" applyAlignment="1">
      <alignment horizontal="center"/>
    </xf>
    <xf numFmtId="166" fontId="2" fillId="24" borderId="4" xfId="0" applyNumberFormat="1" applyFont="1" applyFill="1" applyBorder="1"/>
    <xf numFmtId="2" fontId="19" fillId="0" borderId="6" xfId="0" applyNumberFormat="1" applyFont="1" applyBorder="1"/>
    <xf numFmtId="2" fontId="1" fillId="0" borderId="2" xfId="0" applyNumberFormat="1" applyFont="1" applyBorder="1"/>
    <xf numFmtId="2" fontId="1" fillId="0" borderId="7" xfId="0" applyNumberFormat="1" applyFont="1" applyBorder="1"/>
    <xf numFmtId="0" fontId="5" fillId="31" borderId="0" xfId="0" applyFont="1" applyFill="1"/>
    <xf numFmtId="2" fontId="5" fillId="31" borderId="0" xfId="0" applyNumberFormat="1" applyFont="1" applyFill="1"/>
    <xf numFmtId="1" fontId="1" fillId="0" borderId="0" xfId="0" applyNumberFormat="1" applyFont="1" applyAlignment="1">
      <alignment horizontal="center"/>
    </xf>
    <xf numFmtId="1" fontId="1" fillId="0" borderId="9" xfId="0" applyNumberFormat="1" applyFont="1" applyBorder="1" applyAlignment="1">
      <alignment horizontal="center"/>
    </xf>
    <xf numFmtId="10" fontId="1" fillId="0" borderId="0" xfId="1" applyNumberFormat="1" applyFont="1" applyAlignment="1">
      <alignment horizontal="center"/>
    </xf>
    <xf numFmtId="0" fontId="1" fillId="0" borderId="0" xfId="0" applyFont="1" applyAlignment="1">
      <alignment horizontal="center" wrapText="1"/>
    </xf>
    <xf numFmtId="0" fontId="49" fillId="0" borderId="0" xfId="0" applyFont="1" applyAlignment="1">
      <alignment horizontal="center"/>
    </xf>
    <xf numFmtId="0" fontId="9" fillId="0" borderId="1" xfId="0" applyFont="1" applyBorder="1" applyAlignment="1">
      <alignment readingOrder="2"/>
    </xf>
    <xf numFmtId="0" fontId="1" fillId="0" borderId="4" xfId="0" applyFont="1" applyBorder="1" applyAlignment="1">
      <alignment readingOrder="2"/>
    </xf>
    <xf numFmtId="0" fontId="1" fillId="0" borderId="6" xfId="0" applyFont="1" applyBorder="1" applyAlignment="1">
      <alignment readingOrder="2"/>
    </xf>
    <xf numFmtId="3" fontId="5" fillId="0" borderId="0" xfId="0" applyNumberFormat="1" applyFont="1"/>
    <xf numFmtId="3" fontId="5" fillId="2" borderId="0" xfId="0" applyNumberFormat="1" applyFont="1" applyFill="1"/>
    <xf numFmtId="3" fontId="5" fillId="24" borderId="0" xfId="0" applyNumberFormat="1" applyFont="1" applyFill="1"/>
    <xf numFmtId="0" fontId="6" fillId="2" borderId="0" xfId="0" applyFont="1" applyFill="1"/>
    <xf numFmtId="0" fontId="6" fillId="14" borderId="0" xfId="0" applyFont="1" applyFill="1"/>
    <xf numFmtId="0" fontId="5" fillId="14" borderId="0" xfId="0" applyFont="1" applyFill="1"/>
    <xf numFmtId="0" fontId="52" fillId="0" borderId="0" xfId="0" applyFont="1"/>
    <xf numFmtId="0" fontId="1" fillId="26" borderId="0" xfId="0" applyFont="1" applyFill="1"/>
    <xf numFmtId="0" fontId="53" fillId="0" borderId="0" xfId="0" applyFont="1"/>
    <xf numFmtId="0" fontId="5" fillId="26" borderId="0" xfId="0" applyFont="1" applyFill="1"/>
    <xf numFmtId="0" fontId="5" fillId="5" borderId="0" xfId="0" applyFont="1" applyFill="1" applyAlignment="1">
      <alignment horizontal="center"/>
    </xf>
    <xf numFmtId="0" fontId="2" fillId="2" borderId="0" xfId="0" applyFont="1" applyFill="1" applyAlignment="1">
      <alignment horizontal="center"/>
    </xf>
    <xf numFmtId="37" fontId="1" fillId="0" borderId="16" xfId="0" applyNumberFormat="1" applyFont="1" applyBorder="1"/>
    <xf numFmtId="174" fontId="1" fillId="0" borderId="0" xfId="0" applyNumberFormat="1" applyFont="1"/>
    <xf numFmtId="174" fontId="1" fillId="0" borderId="16" xfId="0" applyNumberFormat="1" applyFont="1" applyBorder="1"/>
    <xf numFmtId="37" fontId="1" fillId="0" borderId="0" xfId="0" applyNumberFormat="1" applyFont="1"/>
    <xf numFmtId="174" fontId="1" fillId="0" borderId="21" xfId="0" applyNumberFormat="1" applyFont="1" applyBorder="1"/>
    <xf numFmtId="0" fontId="1" fillId="10" borderId="9" xfId="0" applyFont="1" applyFill="1" applyBorder="1"/>
    <xf numFmtId="0" fontId="1" fillId="5" borderId="9" xfId="0" applyFont="1" applyFill="1" applyBorder="1"/>
    <xf numFmtId="2" fontId="1" fillId="5" borderId="0" xfId="0" applyNumberFormat="1" applyFont="1" applyFill="1"/>
    <xf numFmtId="168" fontId="1" fillId="0" borderId="0" xfId="1" applyNumberFormat="1" applyFont="1"/>
    <xf numFmtId="0" fontId="14" fillId="2" borderId="10" xfId="0" applyFont="1" applyFill="1" applyBorder="1" applyAlignment="1">
      <alignment horizontal="center"/>
    </xf>
    <xf numFmtId="0" fontId="14" fillId="2" borderId="11" xfId="0" applyFont="1" applyFill="1" applyBorder="1" applyAlignment="1">
      <alignment horizontal="center"/>
    </xf>
    <xf numFmtId="0" fontId="14" fillId="2" borderId="12" xfId="0" applyFont="1" applyFill="1" applyBorder="1" applyAlignment="1">
      <alignment horizontal="center"/>
    </xf>
    <xf numFmtId="0" fontId="1" fillId="0" borderId="0" xfId="0" applyFont="1" applyAlignment="1">
      <alignment horizontal="right"/>
    </xf>
    <xf numFmtId="0" fontId="1" fillId="0" borderId="0" xfId="0" applyFont="1" applyAlignment="1">
      <alignment horizontal="center" vertical="center"/>
    </xf>
    <xf numFmtId="0" fontId="1" fillId="13" borderId="0" xfId="0" applyFont="1" applyFill="1" applyAlignment="1">
      <alignment horizontal="center" vertical="center"/>
    </xf>
    <xf numFmtId="0" fontId="1" fillId="0" borderId="0" xfId="0" applyFont="1" applyAlignment="1">
      <alignment horizontal="center"/>
    </xf>
    <xf numFmtId="0" fontId="1" fillId="0" borderId="4" xfId="0" applyFont="1" applyBorder="1" applyAlignment="1">
      <alignment horizontal="center"/>
    </xf>
    <xf numFmtId="0" fontId="6" fillId="0" borderId="10" xfId="0" applyFont="1" applyBorder="1" applyAlignment="1">
      <alignment horizontal="center"/>
    </xf>
    <xf numFmtId="0" fontId="6" fillId="0" borderId="11" xfId="0" applyFont="1" applyBorder="1" applyAlignment="1">
      <alignment horizontal="center"/>
    </xf>
    <xf numFmtId="0" fontId="6" fillId="0" borderId="12" xfId="0" applyFont="1" applyBorder="1" applyAlignment="1">
      <alignment horizontal="center"/>
    </xf>
    <xf numFmtId="0" fontId="5" fillId="0" borderId="0" xfId="0" applyFont="1" applyAlignment="1">
      <alignment horizontal="center"/>
    </xf>
    <xf numFmtId="0" fontId="5" fillId="0" borderId="11" xfId="0" applyFont="1" applyBorder="1" applyAlignment="1">
      <alignment horizontal="center"/>
    </xf>
    <xf numFmtId="0" fontId="5" fillId="0" borderId="12" xfId="0" applyFont="1" applyBorder="1" applyAlignment="1">
      <alignment horizontal="center"/>
    </xf>
    <xf numFmtId="0" fontId="5" fillId="0" borderId="0" xfId="0" applyFont="1" applyAlignment="1">
      <alignment horizontal="center" vertical="center"/>
    </xf>
    <xf numFmtId="165" fontId="5" fillId="2" borderId="14" xfId="1" applyNumberFormat="1" applyFont="1" applyFill="1" applyBorder="1" applyAlignment="1">
      <alignment horizontal="center" vertical="center"/>
    </xf>
    <xf numFmtId="165" fontId="5" fillId="2" borderId="15" xfId="1" applyNumberFormat="1" applyFont="1" applyFill="1" applyBorder="1" applyAlignment="1">
      <alignment horizontal="center" vertical="center"/>
    </xf>
    <xf numFmtId="0" fontId="49" fillId="0" borderId="0" xfId="0" applyFont="1" applyAlignment="1">
      <alignment horizontal="center" wrapText="1"/>
    </xf>
    <xf numFmtId="0" fontId="49" fillId="0" borderId="0" xfId="0" applyFont="1" applyAlignment="1">
      <alignment horizontal="center"/>
    </xf>
    <xf numFmtId="0" fontId="2" fillId="0" borderId="10" xfId="0" applyFont="1" applyBorder="1" applyAlignment="1">
      <alignment horizontal="center"/>
    </xf>
    <xf numFmtId="0" fontId="2" fillId="0" borderId="11" xfId="0" applyFont="1" applyBorder="1" applyAlignment="1">
      <alignment horizontal="center"/>
    </xf>
    <xf numFmtId="0" fontId="2" fillId="0" borderId="12" xfId="0" applyFont="1" applyBorder="1" applyAlignment="1">
      <alignment horizontal="center"/>
    </xf>
    <xf numFmtId="0" fontId="32" fillId="0" borderId="0" xfId="0" applyFont="1" applyAlignment="1">
      <alignment horizontal="center"/>
    </xf>
    <xf numFmtId="0" fontId="1" fillId="0" borderId="18" xfId="0" applyFont="1" applyBorder="1" applyAlignment="1">
      <alignment horizontal="center"/>
    </xf>
    <xf numFmtId="0" fontId="1" fillId="0" borderId="19" xfId="0" applyFont="1" applyBorder="1" applyAlignment="1">
      <alignment horizontal="center"/>
    </xf>
    <xf numFmtId="0" fontId="1" fillId="0" borderId="20" xfId="0" applyFont="1" applyBorder="1" applyAlignment="1">
      <alignment horizontal="center"/>
    </xf>
    <xf numFmtId="0" fontId="1" fillId="0" borderId="21" xfId="0" applyFont="1" applyBorder="1" applyAlignment="1">
      <alignment horizontal="center"/>
    </xf>
    <xf numFmtId="0" fontId="1" fillId="0" borderId="2" xfId="0" applyFont="1" applyBorder="1" applyAlignment="1">
      <alignment vertical="center"/>
    </xf>
    <xf numFmtId="0" fontId="1" fillId="0" borderId="7" xfId="0" applyFont="1" applyBorder="1" applyAlignment="1">
      <alignment vertic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3" fillId="0" borderId="0" xfId="0" applyFont="1" applyAlignment="1">
      <alignment horizontal="center" vertical="center"/>
    </xf>
    <xf numFmtId="0" fontId="6" fillId="0" borderId="0" xfId="0" applyFont="1" applyAlignment="1">
      <alignment horizontal="center" vertical="center"/>
    </xf>
    <xf numFmtId="2" fontId="14" fillId="30" borderId="3" xfId="0" applyNumberFormat="1" applyFont="1" applyFill="1" applyBorder="1" applyAlignment="1">
      <alignment horizontal="center" vertical="center"/>
    </xf>
    <xf numFmtId="2" fontId="14" fillId="30" borderId="8" xfId="0" applyNumberFormat="1" applyFont="1" applyFill="1" applyBorder="1" applyAlignment="1">
      <alignment horizontal="center" vertical="center"/>
    </xf>
    <xf numFmtId="0" fontId="1" fillId="0" borderId="1" xfId="0" applyFont="1" applyBorder="1" applyAlignment="1">
      <alignment horizontal="center" vertical="center"/>
    </xf>
    <xf numFmtId="0" fontId="1" fillId="0" borderId="4" xfId="0" applyFont="1" applyBorder="1" applyAlignment="1">
      <alignment horizontal="center" vertical="center"/>
    </xf>
    <xf numFmtId="0" fontId="1" fillId="0" borderId="5" xfId="0" applyFont="1" applyBorder="1" applyAlignment="1">
      <alignment horizontal="center" vertical="center"/>
    </xf>
    <xf numFmtId="0" fontId="1" fillId="0" borderId="6" xfId="0" applyFont="1" applyBorder="1" applyAlignment="1">
      <alignment horizontal="center" vertical="center"/>
    </xf>
    <xf numFmtId="0" fontId="1" fillId="2" borderId="0" xfId="0" applyFont="1" applyFill="1" applyAlignment="1">
      <alignment horizontal="center"/>
    </xf>
    <xf numFmtId="0" fontId="14" fillId="0" borderId="10" xfId="0" applyFont="1" applyBorder="1" applyAlignment="1">
      <alignment horizontal="center"/>
    </xf>
    <xf numFmtId="0" fontId="14" fillId="0" borderId="11" xfId="0" applyFont="1" applyBorder="1" applyAlignment="1">
      <alignment horizontal="center"/>
    </xf>
    <xf numFmtId="0" fontId="14" fillId="0" borderId="12" xfId="0" applyFont="1" applyBorder="1" applyAlignment="1">
      <alignment horizontal="center"/>
    </xf>
    <xf numFmtId="0" fontId="21" fillId="0" borderId="0" xfId="0" applyFont="1" applyAlignment="1">
      <alignment horizontal="right"/>
    </xf>
    <xf numFmtId="0" fontId="14" fillId="0" borderId="4" xfId="0" applyFont="1" applyBorder="1" applyAlignment="1">
      <alignment horizontal="center"/>
    </xf>
    <xf numFmtId="0" fontId="14" fillId="0" borderId="0" xfId="0" applyFont="1" applyAlignment="1">
      <alignment horizontal="center"/>
    </xf>
    <xf numFmtId="0" fontId="14" fillId="0" borderId="5" xfId="0" applyFont="1" applyBorder="1" applyAlignment="1">
      <alignment horizontal="center"/>
    </xf>
    <xf numFmtId="0" fontId="1" fillId="0" borderId="6" xfId="0" applyFont="1" applyBorder="1" applyAlignment="1">
      <alignment horizontal="center"/>
    </xf>
    <xf numFmtId="0" fontId="1" fillId="0" borderId="7" xfId="0" applyFont="1" applyBorder="1" applyAlignment="1">
      <alignment horizontal="center"/>
    </xf>
    <xf numFmtId="0" fontId="1" fillId="0" borderId="8" xfId="0" applyFont="1" applyBorder="1" applyAlignment="1">
      <alignment horizontal="center"/>
    </xf>
    <xf numFmtId="0" fontId="29" fillId="4" borderId="0" xfId="0" applyFont="1" applyFill="1" applyAlignment="1">
      <alignment horizontal="center" readingOrder="2"/>
    </xf>
    <xf numFmtId="0" fontId="2" fillId="2" borderId="0" xfId="0" applyFont="1" applyFill="1" applyAlignment="1">
      <alignment horizontal="center"/>
    </xf>
    <xf numFmtId="0" fontId="1" fillId="14" borderId="0" xfId="0" applyFont="1" applyFill="1" applyAlignment="1">
      <alignment horizontal="center"/>
    </xf>
    <xf numFmtId="0" fontId="1" fillId="5" borderId="0" xfId="0" applyFont="1" applyFill="1" applyAlignment="1">
      <alignment horizontal="center"/>
    </xf>
    <xf numFmtId="2" fontId="1" fillId="2" borderId="0" xfId="0" applyNumberFormat="1" applyFont="1" applyFill="1" applyAlignment="1">
      <alignment horizontal="center" vertical="center"/>
    </xf>
    <xf numFmtId="2" fontId="1" fillId="0" borderId="0" xfId="0" applyNumberFormat="1" applyFont="1" applyAlignment="1">
      <alignment horizontal="center" vertical="center"/>
    </xf>
    <xf numFmtId="0" fontId="1" fillId="0" borderId="0" xfId="0" applyFont="1" applyBorder="1"/>
    <xf numFmtId="0" fontId="47" fillId="0" borderId="0" xfId="0" applyFont="1" applyBorder="1"/>
    <xf numFmtId="0" fontId="32" fillId="3" borderId="0" xfId="0" applyFont="1" applyFill="1"/>
  </cellXfs>
  <cellStyles count="2">
    <cellStyle name="Normal" xfId="0" builtinId="0"/>
    <cellStyle name="Percent" xfId="1" builtinId="5"/>
  </cellStyles>
  <dxfs count="0"/>
  <tableStyles count="0" defaultTableStyle="TableStyleMedium2" defaultPivotStyle="PivotStyleLight16"/>
  <colors>
    <mruColors>
      <color rgb="FFFF8AD8"/>
      <color rgb="FFFF85FF"/>
      <color rgb="FF00FA00"/>
      <color rgb="FFFF4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1.jpe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1.jpeg"/></Relationships>
</file>

<file path=xl/drawings/_rels/drawing5.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8.xml.rels><?xml version="1.0" encoding="UTF-8" standalone="yes"?>
<Relationships xmlns="http://schemas.openxmlformats.org/package/2006/relationships"><Relationship Id="rId3" Type="http://schemas.openxmlformats.org/officeDocument/2006/relationships/image" Target="../media/image16.png"/><Relationship Id="rId7" Type="http://schemas.openxmlformats.org/officeDocument/2006/relationships/image" Target="../media/image20.png"/><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image" Target="../media/image17.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7" Type="http://schemas.openxmlformats.org/officeDocument/2006/relationships/image" Target="../media/image27.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oneCellAnchor>
    <xdr:from>
      <xdr:col>2</xdr:col>
      <xdr:colOff>588774</xdr:colOff>
      <xdr:row>314</xdr:row>
      <xdr:rowOff>9926</xdr:rowOff>
    </xdr:from>
    <xdr:ext cx="3046488" cy="251544"/>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1488C6-CE73-094E-AADD-C54322DE815F}"/>
                </a:ext>
              </a:extLst>
            </xdr:cNvPr>
            <xdr:cNvSpPr txBox="1"/>
          </xdr:nvSpPr>
          <xdr:spPr>
            <a:xfrm>
              <a:off x="13519705738" y="16672326"/>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𝑟𝑎𝑡</m:t>
                            </m:r>
                            <m:sSub>
                              <m:sSubPr>
                                <m:ctrlPr>
                                  <a:rPr lang="en-US" sz="1100" b="0" i="1">
                                    <a:latin typeface="Cambria Math" panose="02040503050406030204" pitchFamily="18" charset="0"/>
                                  </a:rPr>
                                </m:ctrlPr>
                              </m:sSubPr>
                              <m:e>
                                <m:r>
                                  <a:rPr lang="en-US" sz="1100" b="0" i="1">
                                    <a:latin typeface="Cambria Math" panose="02040503050406030204" pitchFamily="18" charset="0"/>
                                  </a:rPr>
                                  <m:t>𝑒</m:t>
                                </m:r>
                              </m:e>
                              <m:sub>
                                <m:r>
                                  <a:rPr lang="en-US" sz="1100" b="0" i="1">
                                    <a:latin typeface="Cambria Math" panose="02040503050406030204" pitchFamily="18" charset="0"/>
                                  </a:rPr>
                                  <m:t>𝑠h𝑎𝑛𝑎</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1488C6-CE73-094E-AADD-C54322DE815F}"/>
                </a:ext>
              </a:extLst>
            </xdr:cNvPr>
            <xdr:cNvSpPr txBox="1"/>
          </xdr:nvSpPr>
          <xdr:spPr>
            <a:xfrm>
              <a:off x="13519705738" y="16672326"/>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𝑠ℎ𝑎𝑛𝑎)=(1+𝑟𝑎𝑡𝑒_𝑠ℎ𝑎𝑛𝑎 )^(1/2)−1</a:t>
              </a:r>
              <a:endParaRPr lang="en-US" sz="1100"/>
            </a:p>
          </xdr:txBody>
        </xdr:sp>
      </mc:Fallback>
    </mc:AlternateContent>
    <xdr:clientData/>
  </xdr:oneCellAnchor>
  <xdr:oneCellAnchor>
    <xdr:from>
      <xdr:col>2</xdr:col>
      <xdr:colOff>501188</xdr:colOff>
      <xdr:row>315</xdr:row>
      <xdr:rowOff>141305</xdr:rowOff>
    </xdr:from>
    <xdr:ext cx="3046488" cy="251544"/>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AB6DCF48-7077-0C4A-85FA-48C8377AAE4F}"/>
                </a:ext>
              </a:extLst>
            </xdr:cNvPr>
            <xdr:cNvSpPr txBox="1"/>
          </xdr:nvSpPr>
          <xdr:spPr>
            <a:xfrm>
              <a:off x="13519793324" y="17006905"/>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1+4.04%</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−1=2%</m:t>
                    </m:r>
                  </m:oMath>
                </m:oMathPara>
              </a14:m>
              <a:endParaRPr lang="en-US" sz="1100"/>
            </a:p>
          </xdr:txBody>
        </xdr:sp>
      </mc:Choice>
      <mc:Fallback xmlns="">
        <xdr:sp macro="" textlink="">
          <xdr:nvSpPr>
            <xdr:cNvPr id="3" name="TextBox 2">
              <a:extLst>
                <a:ext uri="{FF2B5EF4-FFF2-40B4-BE49-F238E27FC236}">
                  <a16:creationId xmlns:a16="http://schemas.microsoft.com/office/drawing/2014/main" id="{AB6DCF48-7077-0C4A-85FA-48C8377AAE4F}"/>
                </a:ext>
              </a:extLst>
            </xdr:cNvPr>
            <xdr:cNvSpPr txBox="1"/>
          </xdr:nvSpPr>
          <xdr:spPr>
            <a:xfrm>
              <a:off x="13519793324" y="17006905"/>
              <a:ext cx="3046488"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𝑠ℎ𝑎𝑛𝑎)=(1+4.04%)^(1/2)−1=2%</a:t>
              </a:r>
              <a:endParaRPr lang="en-US" sz="1100"/>
            </a:p>
          </xdr:txBody>
        </xdr:sp>
      </mc:Fallback>
    </mc:AlternateContent>
    <xdr:clientData/>
  </xdr:oneCellAnchor>
  <xdr:twoCellAnchor>
    <xdr:from>
      <xdr:col>1</xdr:col>
      <xdr:colOff>463926</xdr:colOff>
      <xdr:row>162</xdr:row>
      <xdr:rowOff>243562</xdr:rowOff>
    </xdr:from>
    <xdr:to>
      <xdr:col>1</xdr:col>
      <xdr:colOff>661095</xdr:colOff>
      <xdr:row>162</xdr:row>
      <xdr:rowOff>423333</xdr:rowOff>
    </xdr:to>
    <xdr:sp macro="" textlink="">
      <xdr:nvSpPr>
        <xdr:cNvPr id="29" name="Rectangle 28">
          <a:extLst>
            <a:ext uri="{FF2B5EF4-FFF2-40B4-BE49-F238E27FC236}">
              <a16:creationId xmlns:a16="http://schemas.microsoft.com/office/drawing/2014/main" id="{BA9B431A-8B0A-AE44-89BF-A73BA99446AF}"/>
            </a:ext>
          </a:extLst>
        </xdr:cNvPr>
        <xdr:cNvSpPr/>
      </xdr:nvSpPr>
      <xdr:spPr>
        <a:xfrm>
          <a:off x="13523505405" y="32552362"/>
          <a:ext cx="197169"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440728</xdr:colOff>
      <xdr:row>162</xdr:row>
      <xdr:rowOff>34795</xdr:rowOff>
    </xdr:from>
    <xdr:to>
      <xdr:col>5</xdr:col>
      <xdr:colOff>672692</xdr:colOff>
      <xdr:row>162</xdr:row>
      <xdr:rowOff>214566</xdr:rowOff>
    </xdr:to>
    <xdr:sp macro="" textlink="">
      <xdr:nvSpPr>
        <xdr:cNvPr id="30" name="Rectangle 29">
          <a:extLst>
            <a:ext uri="{FF2B5EF4-FFF2-40B4-BE49-F238E27FC236}">
              <a16:creationId xmlns:a16="http://schemas.microsoft.com/office/drawing/2014/main" id="{600AE9C4-1255-DC46-86F1-50A38B6E9838}"/>
            </a:ext>
          </a:extLst>
        </xdr:cNvPr>
        <xdr:cNvSpPr/>
      </xdr:nvSpPr>
      <xdr:spPr>
        <a:xfrm flipH="1">
          <a:off x="13520191808" y="32343595"/>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492920</xdr:colOff>
      <xdr:row>162</xdr:row>
      <xdr:rowOff>220366</xdr:rowOff>
    </xdr:from>
    <xdr:to>
      <xdr:col>2</xdr:col>
      <xdr:colOff>724884</xdr:colOff>
      <xdr:row>162</xdr:row>
      <xdr:rowOff>400137</xdr:rowOff>
    </xdr:to>
    <xdr:sp macro="" textlink="">
      <xdr:nvSpPr>
        <xdr:cNvPr id="31" name="Rectangle 30">
          <a:extLst>
            <a:ext uri="{FF2B5EF4-FFF2-40B4-BE49-F238E27FC236}">
              <a16:creationId xmlns:a16="http://schemas.microsoft.com/office/drawing/2014/main" id="{E77F357E-F9EE-A145-9D3F-6A186B82EA7C}"/>
            </a:ext>
          </a:extLst>
        </xdr:cNvPr>
        <xdr:cNvSpPr/>
      </xdr:nvSpPr>
      <xdr:spPr>
        <a:xfrm flipH="1">
          <a:off x="13522616116" y="32529166"/>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550911</xdr:colOff>
      <xdr:row>162</xdr:row>
      <xdr:rowOff>214566</xdr:rowOff>
    </xdr:from>
    <xdr:to>
      <xdr:col>3</xdr:col>
      <xdr:colOff>782875</xdr:colOff>
      <xdr:row>162</xdr:row>
      <xdr:rowOff>394337</xdr:rowOff>
    </xdr:to>
    <xdr:sp macro="" textlink="">
      <xdr:nvSpPr>
        <xdr:cNvPr id="32" name="Rectangle 31">
          <a:extLst>
            <a:ext uri="{FF2B5EF4-FFF2-40B4-BE49-F238E27FC236}">
              <a16:creationId xmlns:a16="http://schemas.microsoft.com/office/drawing/2014/main" id="{946C6535-7133-774C-AF98-42EDA8455213}"/>
            </a:ext>
          </a:extLst>
        </xdr:cNvPr>
        <xdr:cNvSpPr/>
      </xdr:nvSpPr>
      <xdr:spPr>
        <a:xfrm flipH="1">
          <a:off x="13521732625" y="32523366"/>
          <a:ext cx="231964" cy="179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2</xdr:col>
      <xdr:colOff>562511</xdr:colOff>
      <xdr:row>163</xdr:row>
      <xdr:rowOff>92786</xdr:rowOff>
    </xdr:from>
    <xdr:to>
      <xdr:col>5</xdr:col>
      <xdr:colOff>17397</xdr:colOff>
      <xdr:row>164</xdr:row>
      <xdr:rowOff>115982</xdr:rowOff>
    </xdr:to>
    <xdr:cxnSp macro="">
      <xdr:nvCxnSpPr>
        <xdr:cNvPr id="33" name="Straight Arrow Connector 32">
          <a:extLst>
            <a:ext uri="{FF2B5EF4-FFF2-40B4-BE49-F238E27FC236}">
              <a16:creationId xmlns:a16="http://schemas.microsoft.com/office/drawing/2014/main" id="{526B2976-3833-AC45-BCAB-A340F826F598}"/>
            </a:ext>
          </a:extLst>
        </xdr:cNvPr>
        <xdr:cNvCxnSpPr/>
      </xdr:nvCxnSpPr>
      <xdr:spPr>
        <a:xfrm>
          <a:off x="13520847103" y="32846086"/>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550913</xdr:colOff>
      <xdr:row>164</xdr:row>
      <xdr:rowOff>104385</xdr:rowOff>
    </xdr:from>
    <xdr:to>
      <xdr:col>5</xdr:col>
      <xdr:colOff>5799</xdr:colOff>
      <xdr:row>165</xdr:row>
      <xdr:rowOff>127581</xdr:rowOff>
    </xdr:to>
    <xdr:cxnSp macro="">
      <xdr:nvCxnSpPr>
        <xdr:cNvPr id="34" name="Straight Arrow Connector 33">
          <a:extLst>
            <a:ext uri="{FF2B5EF4-FFF2-40B4-BE49-F238E27FC236}">
              <a16:creationId xmlns:a16="http://schemas.microsoft.com/office/drawing/2014/main" id="{987BC3D4-5839-674E-ABB8-E2FE72556493}"/>
            </a:ext>
          </a:extLst>
        </xdr:cNvPr>
        <xdr:cNvCxnSpPr/>
      </xdr:nvCxnSpPr>
      <xdr:spPr>
        <a:xfrm>
          <a:off x="13520858701" y="33060885"/>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562511</xdr:colOff>
      <xdr:row>165</xdr:row>
      <xdr:rowOff>104385</xdr:rowOff>
    </xdr:from>
    <xdr:to>
      <xdr:col>5</xdr:col>
      <xdr:colOff>17397</xdr:colOff>
      <xdr:row>166</xdr:row>
      <xdr:rowOff>127581</xdr:rowOff>
    </xdr:to>
    <xdr:cxnSp macro="">
      <xdr:nvCxnSpPr>
        <xdr:cNvPr id="35" name="Straight Arrow Connector 34">
          <a:extLst>
            <a:ext uri="{FF2B5EF4-FFF2-40B4-BE49-F238E27FC236}">
              <a16:creationId xmlns:a16="http://schemas.microsoft.com/office/drawing/2014/main" id="{856E66CA-7CC4-A342-982E-177C385EA1F3}"/>
            </a:ext>
          </a:extLst>
        </xdr:cNvPr>
        <xdr:cNvCxnSpPr/>
      </xdr:nvCxnSpPr>
      <xdr:spPr>
        <a:xfrm>
          <a:off x="13520847103" y="33264085"/>
          <a:ext cx="1931386" cy="2263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579988</xdr:colOff>
      <xdr:row>166</xdr:row>
      <xdr:rowOff>104386</xdr:rowOff>
    </xdr:from>
    <xdr:to>
      <xdr:col>5</xdr:col>
      <xdr:colOff>34874</xdr:colOff>
      <xdr:row>167</xdr:row>
      <xdr:rowOff>127582</xdr:rowOff>
    </xdr:to>
    <xdr:cxnSp macro="">
      <xdr:nvCxnSpPr>
        <xdr:cNvPr id="8" name="Straight Arrow Connector 7">
          <a:extLst>
            <a:ext uri="{FF2B5EF4-FFF2-40B4-BE49-F238E27FC236}">
              <a16:creationId xmlns:a16="http://schemas.microsoft.com/office/drawing/2014/main" id="{AFCCBCC2-32CB-A6C0-3FCD-B4FEB30A1C2B}"/>
            </a:ext>
          </a:extLst>
        </xdr:cNvPr>
        <xdr:cNvCxnSpPr/>
      </xdr:nvCxnSpPr>
      <xdr:spPr>
        <a:xfrm>
          <a:off x="13549455309" y="34009891"/>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585814</xdr:colOff>
      <xdr:row>167</xdr:row>
      <xdr:rowOff>81083</xdr:rowOff>
    </xdr:from>
    <xdr:to>
      <xdr:col>5</xdr:col>
      <xdr:colOff>40700</xdr:colOff>
      <xdr:row>168</xdr:row>
      <xdr:rowOff>104279</xdr:rowOff>
    </xdr:to>
    <xdr:cxnSp macro="">
      <xdr:nvCxnSpPr>
        <xdr:cNvPr id="9" name="Straight Arrow Connector 8">
          <a:extLst>
            <a:ext uri="{FF2B5EF4-FFF2-40B4-BE49-F238E27FC236}">
              <a16:creationId xmlns:a16="http://schemas.microsoft.com/office/drawing/2014/main" id="{0714F795-15A8-95EC-156B-1CC3BE5F5300}"/>
            </a:ext>
          </a:extLst>
        </xdr:cNvPr>
        <xdr:cNvCxnSpPr/>
      </xdr:nvCxnSpPr>
      <xdr:spPr>
        <a:xfrm>
          <a:off x="13549449483" y="34190487"/>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603291</xdr:colOff>
      <xdr:row>168</xdr:row>
      <xdr:rowOff>75258</xdr:rowOff>
    </xdr:from>
    <xdr:to>
      <xdr:col>5</xdr:col>
      <xdr:colOff>58177</xdr:colOff>
      <xdr:row>169</xdr:row>
      <xdr:rowOff>98454</xdr:rowOff>
    </xdr:to>
    <xdr:cxnSp macro="">
      <xdr:nvCxnSpPr>
        <xdr:cNvPr id="10" name="Straight Arrow Connector 9">
          <a:extLst>
            <a:ext uri="{FF2B5EF4-FFF2-40B4-BE49-F238E27FC236}">
              <a16:creationId xmlns:a16="http://schemas.microsoft.com/office/drawing/2014/main" id="{BACDF533-96A8-B503-B6A9-EE392B88CBBE}"/>
            </a:ext>
          </a:extLst>
        </xdr:cNvPr>
        <xdr:cNvCxnSpPr/>
      </xdr:nvCxnSpPr>
      <xdr:spPr>
        <a:xfrm>
          <a:off x="13549432006" y="34388561"/>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638245</xdr:colOff>
      <xdr:row>169</xdr:row>
      <xdr:rowOff>46130</xdr:rowOff>
    </xdr:from>
    <xdr:to>
      <xdr:col>5</xdr:col>
      <xdr:colOff>93131</xdr:colOff>
      <xdr:row>170</xdr:row>
      <xdr:rowOff>69326</xdr:rowOff>
    </xdr:to>
    <xdr:cxnSp macro="">
      <xdr:nvCxnSpPr>
        <xdr:cNvPr id="11" name="Straight Arrow Connector 10">
          <a:extLst>
            <a:ext uri="{FF2B5EF4-FFF2-40B4-BE49-F238E27FC236}">
              <a16:creationId xmlns:a16="http://schemas.microsoft.com/office/drawing/2014/main" id="{488233FA-1389-8B53-89D0-F855E7090160}"/>
            </a:ext>
          </a:extLst>
        </xdr:cNvPr>
        <xdr:cNvCxnSpPr/>
      </xdr:nvCxnSpPr>
      <xdr:spPr>
        <a:xfrm>
          <a:off x="13549397052" y="34563332"/>
          <a:ext cx="1936629" cy="2270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322436</xdr:colOff>
      <xdr:row>120</xdr:row>
      <xdr:rowOff>41259</xdr:rowOff>
    </xdr:from>
    <xdr:ext cx="5051132" cy="177741"/>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541D5CB9-0647-6C5D-99E6-D081A82318DB}"/>
                </a:ext>
              </a:extLst>
            </xdr:cNvPr>
            <xdr:cNvSpPr txBox="1"/>
          </xdr:nvSpPr>
          <xdr:spPr>
            <a:xfrm>
              <a:off x="13524311510" y="27862813"/>
              <a:ext cx="5051132"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h𝑎𝑧𝑖</m:t>
                        </m:r>
                        <m:r>
                          <a:rPr lang="en-US" sz="1100" b="0" i="1">
                            <a:latin typeface="Cambria Math" panose="02040503050406030204" pitchFamily="18" charset="0"/>
                          </a:rPr>
                          <m:t>.</m:t>
                        </m:r>
                        <m:r>
                          <a:rPr lang="en-US" sz="1100" b="0" i="1">
                            <a:latin typeface="Cambria Math" panose="02040503050406030204" pitchFamily="18" charset="0"/>
                          </a:rPr>
                          <m:t>𝑠h𝑎𝑛𝑎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𝑠h𝑎𝑛𝑎</m:t>
                                </m:r>
                              </m:sub>
                            </m:sSub>
                          </m:e>
                        </m:d>
                      </m:e>
                      <m:sup>
                        <m:r>
                          <a:rPr lang="en-US" sz="1100" b="0" i="1">
                            <a:latin typeface="Cambria Math" panose="02040503050406030204" pitchFamily="18" charset="0"/>
                          </a:rPr>
                          <m:t>0.5</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1+10.25%</m:t>
                            </m:r>
                          </m:e>
                        </m:d>
                      </m:e>
                      <m:sup>
                        <m:r>
                          <a:rPr lang="en-US" sz="1100" b="0" i="1">
                            <a:latin typeface="Cambria Math" panose="02040503050406030204" pitchFamily="18" charset="0"/>
                          </a:rPr>
                          <m:t>0.5</m:t>
                        </m:r>
                      </m:sup>
                    </m:sSup>
                    <m:r>
                      <a:rPr lang="en-US" sz="1100" b="0" i="1">
                        <a:latin typeface="Cambria Math" panose="02040503050406030204" pitchFamily="18" charset="0"/>
                      </a:rPr>
                      <m:t>−1=5%</m:t>
                    </m:r>
                  </m:oMath>
                </m:oMathPara>
              </a14:m>
              <a:endParaRPr lang="en-US" sz="1100"/>
            </a:p>
          </xdr:txBody>
        </xdr:sp>
      </mc:Choice>
      <mc:Fallback xmlns="">
        <xdr:sp macro="" textlink="">
          <xdr:nvSpPr>
            <xdr:cNvPr id="4" name="TextBox 3">
              <a:extLst>
                <a:ext uri="{FF2B5EF4-FFF2-40B4-BE49-F238E27FC236}">
                  <a16:creationId xmlns:a16="http://schemas.microsoft.com/office/drawing/2014/main" id="{541D5CB9-0647-6C5D-99E6-D081A82318DB}"/>
                </a:ext>
              </a:extLst>
            </xdr:cNvPr>
            <xdr:cNvSpPr txBox="1"/>
          </xdr:nvSpPr>
          <xdr:spPr>
            <a:xfrm>
              <a:off x="13524311510" y="27862813"/>
              <a:ext cx="5051132"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𝑟_(ℎ𝑎𝑧𝑖.𝑠ℎ𝑎𝑛𝑎)=(1+𝑟_𝑠ℎ𝑎𝑛𝑎 )^0.5−1=(1+10.25%)^0.5−1=5%</a:t>
              </a:r>
              <a:endParaRPr lang="en-US" sz="1100"/>
            </a:p>
          </xdr:txBody>
        </xdr:sp>
      </mc:Fallback>
    </mc:AlternateContent>
    <xdr:clientData/>
  </xdr:oneCellAnchor>
  <xdr:twoCellAnchor editAs="oneCell">
    <xdr:from>
      <xdr:col>6</xdr:col>
      <xdr:colOff>618549</xdr:colOff>
      <xdr:row>112</xdr:row>
      <xdr:rowOff>171088</xdr:rowOff>
    </xdr:from>
    <xdr:to>
      <xdr:col>8</xdr:col>
      <xdr:colOff>21320</xdr:colOff>
      <xdr:row>120</xdr:row>
      <xdr:rowOff>183789</xdr:rowOff>
    </xdr:to>
    <xdr:pic>
      <xdr:nvPicPr>
        <xdr:cNvPr id="5" name="Picture 4" descr="Happy cute smiling funny egg. flat cartoon character ...">
          <a:extLst>
            <a:ext uri="{FF2B5EF4-FFF2-40B4-BE49-F238E27FC236}">
              <a16:creationId xmlns:a16="http://schemas.microsoft.com/office/drawing/2014/main" id="{4E79BAAE-71FE-328F-4C7E-624CB2C6836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23754639" y="26360725"/>
          <a:ext cx="1054429" cy="1644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5518</xdr:colOff>
      <xdr:row>109</xdr:row>
      <xdr:rowOff>146515</xdr:rowOff>
    </xdr:from>
    <xdr:to>
      <xdr:col>10</xdr:col>
      <xdr:colOff>750447</xdr:colOff>
      <xdr:row>117</xdr:row>
      <xdr:rowOff>112531</xdr:rowOff>
    </xdr:to>
    <xdr:sp macro="" textlink="">
      <xdr:nvSpPr>
        <xdr:cNvPr id="6" name="Rounded Rectangular Callout 5">
          <a:extLst>
            <a:ext uri="{FF2B5EF4-FFF2-40B4-BE49-F238E27FC236}">
              <a16:creationId xmlns:a16="http://schemas.microsoft.com/office/drawing/2014/main" id="{C132EB94-A85B-F7C6-1B24-7DA0D1C9BB93}"/>
            </a:ext>
          </a:extLst>
        </xdr:cNvPr>
        <xdr:cNvSpPr/>
      </xdr:nvSpPr>
      <xdr:spPr>
        <a:xfrm>
          <a:off x="13489663793" y="25839901"/>
          <a:ext cx="2392714" cy="1605763"/>
        </a:xfrm>
        <a:prstGeom prst="wedgeRoundRectCallout">
          <a:avLst>
            <a:gd name="adj1" fmla="val 44506"/>
            <a:gd name="adj2" fmla="val 5947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הטיפ של הביצה החומה - איך מתאמים ריביות באג״ח?</a:t>
          </a:r>
        </a:p>
        <a:p>
          <a:pPr algn="r" rtl="1"/>
          <a:endParaRPr lang="he-IL" sz="1100"/>
        </a:p>
        <a:p>
          <a:pPr algn="r" rtl="1"/>
          <a:r>
            <a:rPr lang="he-IL" sz="1100"/>
            <a:t>ריבית</a:t>
          </a:r>
          <a:r>
            <a:rPr lang="he-IL" sz="1100" baseline="0"/>
            <a:t> נקובה באג״ח: </a:t>
          </a:r>
        </a:p>
        <a:p>
          <a:pPr algn="r" rtl="1"/>
          <a:r>
            <a:rPr lang="he-IL" sz="1100" baseline="0"/>
            <a:t>מחלקים</a:t>
          </a:r>
        </a:p>
        <a:p>
          <a:pPr algn="r" rtl="1"/>
          <a:endParaRPr lang="he-IL" sz="1100" baseline="0"/>
        </a:p>
        <a:p>
          <a:pPr algn="r" rtl="1"/>
          <a:r>
            <a:rPr lang="he-IL" sz="1100" baseline="0"/>
            <a:t>שיעור תשואה לפדיון באג״ח: </a:t>
          </a:r>
        </a:p>
        <a:p>
          <a:pPr algn="r" rtl="1"/>
          <a:r>
            <a:rPr lang="he-IL" sz="1100" baseline="0"/>
            <a:t>מעלים בחזקה</a:t>
          </a:r>
          <a:endParaRPr lang="en-US" sz="1100"/>
        </a:p>
      </xdr:txBody>
    </xdr:sp>
    <xdr:clientData/>
  </xdr:twoCellAnchor>
  <xdr:oneCellAnchor>
    <xdr:from>
      <xdr:col>7</xdr:col>
      <xdr:colOff>618549</xdr:colOff>
      <xdr:row>185</xdr:row>
      <xdr:rowOff>171088</xdr:rowOff>
    </xdr:from>
    <xdr:ext cx="1055379" cy="1633155"/>
    <xdr:pic>
      <xdr:nvPicPr>
        <xdr:cNvPr id="7" name="Picture 6" descr="Happy cute smiling funny egg. flat cartoon character ...">
          <a:extLst>
            <a:ext uri="{FF2B5EF4-FFF2-40B4-BE49-F238E27FC236}">
              <a16:creationId xmlns:a16="http://schemas.microsoft.com/office/drawing/2014/main" id="{19A6729B-31E9-474F-9945-BEC5AC87DD8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1529667" y="26175544"/>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9</xdr:col>
      <xdr:colOff>5518</xdr:colOff>
      <xdr:row>182</xdr:row>
      <xdr:rowOff>146515</xdr:rowOff>
    </xdr:from>
    <xdr:to>
      <xdr:col>11</xdr:col>
      <xdr:colOff>750447</xdr:colOff>
      <xdr:row>190</xdr:row>
      <xdr:rowOff>112531</xdr:rowOff>
    </xdr:to>
    <xdr:sp macro="" textlink="">
      <xdr:nvSpPr>
        <xdr:cNvPr id="12" name="Rounded Rectangular Callout 11">
          <a:extLst>
            <a:ext uri="{FF2B5EF4-FFF2-40B4-BE49-F238E27FC236}">
              <a16:creationId xmlns:a16="http://schemas.microsoft.com/office/drawing/2014/main" id="{A65D2F09-A7E4-4045-80B1-53D4A04E42E6}"/>
            </a:ext>
          </a:extLst>
        </xdr:cNvPr>
        <xdr:cNvSpPr/>
      </xdr:nvSpPr>
      <xdr:spPr>
        <a:xfrm>
          <a:off x="13529147933" y="25543300"/>
          <a:ext cx="2397536" cy="1586472"/>
        </a:xfrm>
        <a:prstGeom prst="wedgeRoundRectCallout">
          <a:avLst>
            <a:gd name="adj1" fmla="val 44506"/>
            <a:gd name="adj2" fmla="val 5947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הטיפ של הביצה החומה - איך מתאמים ריביות באג״ח?</a:t>
          </a:r>
        </a:p>
        <a:p>
          <a:pPr algn="r" rtl="1"/>
          <a:endParaRPr lang="he-IL" sz="1100"/>
        </a:p>
        <a:p>
          <a:pPr algn="r" rtl="1"/>
          <a:r>
            <a:rPr lang="he-IL" sz="1100" u="sng"/>
            <a:t>ריבית</a:t>
          </a:r>
          <a:r>
            <a:rPr lang="he-IL" sz="1100" u="sng" baseline="0"/>
            <a:t> נקובה באג״ח</a:t>
          </a:r>
          <a:r>
            <a:rPr lang="he-IL" sz="1100" baseline="0"/>
            <a:t>: </a:t>
          </a:r>
        </a:p>
        <a:p>
          <a:pPr algn="r" rtl="1"/>
          <a:r>
            <a:rPr lang="he-IL" sz="1100" baseline="0"/>
            <a:t>מחלקים</a:t>
          </a:r>
        </a:p>
        <a:p>
          <a:pPr algn="r" rtl="1"/>
          <a:endParaRPr lang="he-IL" sz="1100" baseline="0"/>
        </a:p>
        <a:p>
          <a:pPr algn="r" rtl="1"/>
          <a:r>
            <a:rPr lang="he-IL" sz="1100" u="sng" baseline="0"/>
            <a:t>שיעור תשואה לפדיון באג״ח</a:t>
          </a:r>
          <a:r>
            <a:rPr lang="he-IL" sz="1100" baseline="0"/>
            <a:t>: </a:t>
          </a:r>
        </a:p>
        <a:p>
          <a:pPr algn="r" rtl="1"/>
          <a:r>
            <a:rPr lang="he-IL" sz="1100" baseline="0"/>
            <a:t>מעלים בחזקה</a:t>
          </a:r>
          <a:endParaRPr lang="en-US" sz="1100"/>
        </a:p>
      </xdr:txBody>
    </xdr:sp>
    <xdr:clientData/>
  </xdr:twoCellAnchor>
  <xdr:oneCellAnchor>
    <xdr:from>
      <xdr:col>2</xdr:col>
      <xdr:colOff>38197</xdr:colOff>
      <xdr:row>197</xdr:row>
      <xdr:rowOff>21836</xdr:rowOff>
    </xdr:from>
    <xdr:ext cx="1777275" cy="17774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26A18-E7AC-29C7-7BF8-06FF482C28B7}"/>
                </a:ext>
              </a:extLst>
            </xdr:cNvPr>
            <xdr:cNvSpPr txBox="1"/>
          </xdr:nvSpPr>
          <xdr:spPr>
            <a:xfrm>
              <a:off x="13503275405" y="40878277"/>
              <a:ext cx="1777275"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1+6.09%</m:t>
                            </m:r>
                          </m:e>
                        </m:d>
                      </m:e>
                      <m:sup>
                        <m:r>
                          <a:rPr lang="he-IL" sz="1100" b="0" i="1">
                            <a:latin typeface="Cambria Math" panose="02040503050406030204" pitchFamily="18" charset="0"/>
                          </a:rPr>
                          <m:t>0.5</m:t>
                        </m:r>
                      </m:sup>
                    </m:sSup>
                    <m:r>
                      <a:rPr lang="he-IL" sz="1100" b="0" i="1">
                        <a:latin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26A18-E7AC-29C7-7BF8-06FF482C28B7}"/>
                </a:ext>
              </a:extLst>
            </xdr:cNvPr>
            <xdr:cNvSpPr txBox="1"/>
          </xdr:nvSpPr>
          <xdr:spPr>
            <a:xfrm>
              <a:off x="13503275405" y="40878277"/>
              <a:ext cx="1777275"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=(1+6.09%)^0.5−1</a:t>
              </a:r>
              <a:endParaRPr lang="en-US" sz="1100"/>
            </a:p>
          </xdr:txBody>
        </xdr:sp>
      </mc:Fallback>
    </mc:AlternateContent>
    <xdr:clientData/>
  </xdr:oneCellAnchor>
  <xdr:twoCellAnchor>
    <xdr:from>
      <xdr:col>2</xdr:col>
      <xdr:colOff>212891</xdr:colOff>
      <xdr:row>346</xdr:row>
      <xdr:rowOff>135809</xdr:rowOff>
    </xdr:from>
    <xdr:to>
      <xdr:col>2</xdr:col>
      <xdr:colOff>480839</xdr:colOff>
      <xdr:row>348</xdr:row>
      <xdr:rowOff>11011</xdr:rowOff>
    </xdr:to>
    <xdr:sp macro="" textlink="">
      <xdr:nvSpPr>
        <xdr:cNvPr id="14" name="Oval 13">
          <a:extLst>
            <a:ext uri="{FF2B5EF4-FFF2-40B4-BE49-F238E27FC236}">
              <a16:creationId xmlns:a16="http://schemas.microsoft.com/office/drawing/2014/main" id="{DB7597D1-47F4-AED0-383E-7AB35DE7D345}"/>
            </a:ext>
          </a:extLst>
        </xdr:cNvPr>
        <xdr:cNvSpPr/>
      </xdr:nvSpPr>
      <xdr:spPr>
        <a:xfrm>
          <a:off x="13528873208" y="70837370"/>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264278</xdr:colOff>
      <xdr:row>346</xdr:row>
      <xdr:rowOff>139479</xdr:rowOff>
    </xdr:from>
    <xdr:to>
      <xdr:col>6</xdr:col>
      <xdr:colOff>532226</xdr:colOff>
      <xdr:row>348</xdr:row>
      <xdr:rowOff>14681</xdr:rowOff>
    </xdr:to>
    <xdr:sp macro="" textlink="">
      <xdr:nvSpPr>
        <xdr:cNvPr id="15" name="Oval 14">
          <a:extLst>
            <a:ext uri="{FF2B5EF4-FFF2-40B4-BE49-F238E27FC236}">
              <a16:creationId xmlns:a16="http://schemas.microsoft.com/office/drawing/2014/main" id="{ADC4FFD4-FDE4-2FB6-F612-009AE1397C6E}"/>
            </a:ext>
          </a:extLst>
        </xdr:cNvPr>
        <xdr:cNvSpPr/>
      </xdr:nvSpPr>
      <xdr:spPr>
        <a:xfrm>
          <a:off x="13525518352" y="70841040"/>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286302</xdr:colOff>
      <xdr:row>346</xdr:row>
      <xdr:rowOff>128468</xdr:rowOff>
    </xdr:from>
    <xdr:to>
      <xdr:col>3</xdr:col>
      <xdr:colOff>554250</xdr:colOff>
      <xdr:row>348</xdr:row>
      <xdr:rowOff>3670</xdr:rowOff>
    </xdr:to>
    <xdr:sp macro="" textlink="">
      <xdr:nvSpPr>
        <xdr:cNvPr id="16" name="Oval 15">
          <a:extLst>
            <a:ext uri="{FF2B5EF4-FFF2-40B4-BE49-F238E27FC236}">
              <a16:creationId xmlns:a16="http://schemas.microsoft.com/office/drawing/2014/main" id="{9B3ADBA0-9D95-2143-75FB-160D2945B766}"/>
            </a:ext>
          </a:extLst>
        </xdr:cNvPr>
        <xdr:cNvSpPr/>
      </xdr:nvSpPr>
      <xdr:spPr>
        <a:xfrm>
          <a:off x="13527973930" y="70830029"/>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227573</xdr:colOff>
      <xdr:row>346</xdr:row>
      <xdr:rowOff>121127</xdr:rowOff>
    </xdr:from>
    <xdr:to>
      <xdr:col>4</xdr:col>
      <xdr:colOff>495521</xdr:colOff>
      <xdr:row>347</xdr:row>
      <xdr:rowOff>198208</xdr:rowOff>
    </xdr:to>
    <xdr:sp macro="" textlink="">
      <xdr:nvSpPr>
        <xdr:cNvPr id="17" name="Oval 16">
          <a:extLst>
            <a:ext uri="{FF2B5EF4-FFF2-40B4-BE49-F238E27FC236}">
              <a16:creationId xmlns:a16="http://schemas.microsoft.com/office/drawing/2014/main" id="{59BCE611-0BBE-168F-1999-AB20503ECD94}"/>
            </a:ext>
          </a:extLst>
        </xdr:cNvPr>
        <xdr:cNvSpPr/>
      </xdr:nvSpPr>
      <xdr:spPr>
        <a:xfrm>
          <a:off x="13527206792" y="70822688"/>
          <a:ext cx="267948" cy="2789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2</xdr:col>
      <xdr:colOff>267949</xdr:colOff>
      <xdr:row>390</xdr:row>
      <xdr:rowOff>161503</xdr:rowOff>
    </xdr:from>
    <xdr:to>
      <xdr:col>2</xdr:col>
      <xdr:colOff>510203</xdr:colOff>
      <xdr:row>392</xdr:row>
      <xdr:rowOff>33035</xdr:rowOff>
    </xdr:to>
    <xdr:sp macro="" textlink="">
      <xdr:nvSpPr>
        <xdr:cNvPr id="18" name="Oval 17">
          <a:extLst>
            <a:ext uri="{FF2B5EF4-FFF2-40B4-BE49-F238E27FC236}">
              <a16:creationId xmlns:a16="http://schemas.microsoft.com/office/drawing/2014/main" id="{65917662-802C-DE8F-E74F-654C906B083F}"/>
            </a:ext>
          </a:extLst>
        </xdr:cNvPr>
        <xdr:cNvSpPr/>
      </xdr:nvSpPr>
      <xdr:spPr>
        <a:xfrm>
          <a:off x="13528843844" y="79543844"/>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323006</xdr:colOff>
      <xdr:row>390</xdr:row>
      <xdr:rowOff>132139</xdr:rowOff>
    </xdr:from>
    <xdr:to>
      <xdr:col>5</xdr:col>
      <xdr:colOff>565260</xdr:colOff>
      <xdr:row>392</xdr:row>
      <xdr:rowOff>3671</xdr:rowOff>
    </xdr:to>
    <xdr:sp macro="" textlink="">
      <xdr:nvSpPr>
        <xdr:cNvPr id="19" name="Oval 18">
          <a:extLst>
            <a:ext uri="{FF2B5EF4-FFF2-40B4-BE49-F238E27FC236}">
              <a16:creationId xmlns:a16="http://schemas.microsoft.com/office/drawing/2014/main" id="{5935347E-563F-8668-09C9-62A21A0AE553}"/>
            </a:ext>
          </a:extLst>
        </xdr:cNvPr>
        <xdr:cNvSpPr/>
      </xdr:nvSpPr>
      <xdr:spPr>
        <a:xfrm>
          <a:off x="13526311186" y="79514480"/>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132139</xdr:colOff>
      <xdr:row>390</xdr:row>
      <xdr:rowOff>190867</xdr:rowOff>
    </xdr:from>
    <xdr:to>
      <xdr:col>3</xdr:col>
      <xdr:colOff>374393</xdr:colOff>
      <xdr:row>392</xdr:row>
      <xdr:rowOff>62399</xdr:rowOff>
    </xdr:to>
    <xdr:sp macro="" textlink="">
      <xdr:nvSpPr>
        <xdr:cNvPr id="20" name="Oval 19">
          <a:extLst>
            <a:ext uri="{FF2B5EF4-FFF2-40B4-BE49-F238E27FC236}">
              <a16:creationId xmlns:a16="http://schemas.microsoft.com/office/drawing/2014/main" id="{C67087A6-98A9-BDE6-8B78-9A90F5176070}"/>
            </a:ext>
          </a:extLst>
        </xdr:cNvPr>
        <xdr:cNvSpPr/>
      </xdr:nvSpPr>
      <xdr:spPr>
        <a:xfrm>
          <a:off x="13528153787" y="79573208"/>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234914</xdr:colOff>
      <xdr:row>390</xdr:row>
      <xdr:rowOff>157832</xdr:rowOff>
    </xdr:from>
    <xdr:to>
      <xdr:col>4</xdr:col>
      <xdr:colOff>477168</xdr:colOff>
      <xdr:row>392</xdr:row>
      <xdr:rowOff>29364</xdr:rowOff>
    </xdr:to>
    <xdr:sp macro="" textlink="">
      <xdr:nvSpPr>
        <xdr:cNvPr id="21" name="Oval 20">
          <a:extLst>
            <a:ext uri="{FF2B5EF4-FFF2-40B4-BE49-F238E27FC236}">
              <a16:creationId xmlns:a16="http://schemas.microsoft.com/office/drawing/2014/main" id="{F0E29DAF-BF90-FA31-0447-3A31E1BC9396}"/>
            </a:ext>
          </a:extLst>
        </xdr:cNvPr>
        <xdr:cNvSpPr/>
      </xdr:nvSpPr>
      <xdr:spPr>
        <a:xfrm>
          <a:off x="13527225145" y="79540173"/>
          <a:ext cx="242254" cy="2752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0</xdr:col>
      <xdr:colOff>715752</xdr:colOff>
      <xdr:row>434</xdr:row>
      <xdr:rowOff>95433</xdr:rowOff>
    </xdr:from>
    <xdr:to>
      <xdr:col>6</xdr:col>
      <xdr:colOff>495520</xdr:colOff>
      <xdr:row>434</xdr:row>
      <xdr:rowOff>110115</xdr:rowOff>
    </xdr:to>
    <xdr:cxnSp macro="">
      <xdr:nvCxnSpPr>
        <xdr:cNvPr id="23" name="Straight Arrow Connector 22">
          <a:extLst>
            <a:ext uri="{FF2B5EF4-FFF2-40B4-BE49-F238E27FC236}">
              <a16:creationId xmlns:a16="http://schemas.microsoft.com/office/drawing/2014/main" id="{FF43C66D-6E64-A2A6-DDD7-A77BF284F0DC}"/>
            </a:ext>
          </a:extLst>
        </xdr:cNvPr>
        <xdr:cNvCxnSpPr/>
      </xdr:nvCxnSpPr>
      <xdr:spPr>
        <a:xfrm>
          <a:off x="13525555058" y="87956676"/>
          <a:ext cx="4863439" cy="146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455145</xdr:colOff>
      <xdr:row>434</xdr:row>
      <xdr:rowOff>14683</xdr:rowOff>
    </xdr:from>
    <xdr:to>
      <xdr:col>4</xdr:col>
      <xdr:colOff>392746</xdr:colOff>
      <xdr:row>436</xdr:row>
      <xdr:rowOff>22023</xdr:rowOff>
    </xdr:to>
    <xdr:sp macro="" textlink="">
      <xdr:nvSpPr>
        <xdr:cNvPr id="24" name="Left Brace 23">
          <a:extLst>
            <a:ext uri="{FF2B5EF4-FFF2-40B4-BE49-F238E27FC236}">
              <a16:creationId xmlns:a16="http://schemas.microsoft.com/office/drawing/2014/main" id="{4C831EDF-BFF6-1A35-7386-E99ABAEEDC1E}"/>
            </a:ext>
          </a:extLst>
        </xdr:cNvPr>
        <xdr:cNvSpPr/>
      </xdr:nvSpPr>
      <xdr:spPr>
        <a:xfrm rot="16200000">
          <a:off x="13528375853" y="86809640"/>
          <a:ext cx="411097" cy="254367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407429</xdr:colOff>
      <xdr:row>431</xdr:row>
      <xdr:rowOff>66069</xdr:rowOff>
    </xdr:from>
    <xdr:to>
      <xdr:col>4</xdr:col>
      <xdr:colOff>418440</xdr:colOff>
      <xdr:row>433</xdr:row>
      <xdr:rowOff>11012</xdr:rowOff>
    </xdr:to>
    <xdr:cxnSp macro="">
      <xdr:nvCxnSpPr>
        <xdr:cNvPr id="26" name="Straight Connector 25">
          <a:extLst>
            <a:ext uri="{FF2B5EF4-FFF2-40B4-BE49-F238E27FC236}">
              <a16:creationId xmlns:a16="http://schemas.microsoft.com/office/drawing/2014/main" id="{A7CC27BD-B827-C140-C7D8-42FEF35FA5DD}"/>
            </a:ext>
          </a:extLst>
        </xdr:cNvPr>
        <xdr:cNvCxnSpPr/>
      </xdr:nvCxnSpPr>
      <xdr:spPr>
        <a:xfrm flipH="1" flipV="1">
          <a:off x="13527283873" y="87321676"/>
          <a:ext cx="11011" cy="3487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418441</xdr:colOff>
      <xdr:row>431</xdr:row>
      <xdr:rowOff>73410</xdr:rowOff>
    </xdr:from>
    <xdr:to>
      <xdr:col>6</xdr:col>
      <xdr:colOff>440462</xdr:colOff>
      <xdr:row>431</xdr:row>
      <xdr:rowOff>73411</xdr:rowOff>
    </xdr:to>
    <xdr:cxnSp macro="">
      <xdr:nvCxnSpPr>
        <xdr:cNvPr id="27" name="Straight Connector 26">
          <a:extLst>
            <a:ext uri="{FF2B5EF4-FFF2-40B4-BE49-F238E27FC236}">
              <a16:creationId xmlns:a16="http://schemas.microsoft.com/office/drawing/2014/main" id="{45D7F37D-2FB8-935C-25C5-46AD7D03E336}"/>
            </a:ext>
          </a:extLst>
        </xdr:cNvPr>
        <xdr:cNvCxnSpPr/>
      </xdr:nvCxnSpPr>
      <xdr:spPr>
        <a:xfrm flipV="1">
          <a:off x="13525610116" y="87732774"/>
          <a:ext cx="1673756" cy="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418440</xdr:colOff>
      <xdr:row>431</xdr:row>
      <xdr:rowOff>62399</xdr:rowOff>
    </xdr:from>
    <xdr:to>
      <xdr:col>6</xdr:col>
      <xdr:colOff>429451</xdr:colOff>
      <xdr:row>433</xdr:row>
      <xdr:rowOff>7342</xdr:rowOff>
    </xdr:to>
    <xdr:cxnSp macro="">
      <xdr:nvCxnSpPr>
        <xdr:cNvPr id="38" name="Straight Connector 37">
          <a:extLst>
            <a:ext uri="{FF2B5EF4-FFF2-40B4-BE49-F238E27FC236}">
              <a16:creationId xmlns:a16="http://schemas.microsoft.com/office/drawing/2014/main" id="{D233F937-CF32-A7A1-F0A8-B7D38CB2373E}"/>
            </a:ext>
          </a:extLst>
        </xdr:cNvPr>
        <xdr:cNvCxnSpPr/>
      </xdr:nvCxnSpPr>
      <xdr:spPr>
        <a:xfrm flipH="1" flipV="1">
          <a:off x="13525621127" y="87721763"/>
          <a:ext cx="11011" cy="348700"/>
        </a:xfrm>
        <a:prstGeom prst="line">
          <a:avLst/>
        </a:prstGeom>
        <a:ln>
          <a:headEnd type="arrow"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422111</xdr:colOff>
      <xdr:row>435</xdr:row>
      <xdr:rowOff>201878</xdr:rowOff>
    </xdr:from>
    <xdr:to>
      <xdr:col>6</xdr:col>
      <xdr:colOff>433122</xdr:colOff>
      <xdr:row>437</xdr:row>
      <xdr:rowOff>146821</xdr:rowOff>
    </xdr:to>
    <xdr:cxnSp macro="">
      <xdr:nvCxnSpPr>
        <xdr:cNvPr id="39" name="Straight Connector 38">
          <a:extLst>
            <a:ext uri="{FF2B5EF4-FFF2-40B4-BE49-F238E27FC236}">
              <a16:creationId xmlns:a16="http://schemas.microsoft.com/office/drawing/2014/main" id="{CD824012-D6BE-32F0-D7D1-73D753AB650A}"/>
            </a:ext>
          </a:extLst>
        </xdr:cNvPr>
        <xdr:cNvCxnSpPr/>
      </xdr:nvCxnSpPr>
      <xdr:spPr>
        <a:xfrm flipH="1" flipV="1">
          <a:off x="13525617456" y="88668757"/>
          <a:ext cx="11011" cy="3487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392747</xdr:colOff>
      <xdr:row>437</xdr:row>
      <xdr:rowOff>139480</xdr:rowOff>
    </xdr:from>
    <xdr:to>
      <xdr:col>6</xdr:col>
      <xdr:colOff>414769</xdr:colOff>
      <xdr:row>437</xdr:row>
      <xdr:rowOff>139480</xdr:rowOff>
    </xdr:to>
    <xdr:cxnSp macro="">
      <xdr:nvCxnSpPr>
        <xdr:cNvPr id="40" name="Straight Connector 39">
          <a:extLst>
            <a:ext uri="{FF2B5EF4-FFF2-40B4-BE49-F238E27FC236}">
              <a16:creationId xmlns:a16="http://schemas.microsoft.com/office/drawing/2014/main" id="{A11432E7-9955-6E68-DBE1-DFA79F870494}"/>
            </a:ext>
          </a:extLst>
        </xdr:cNvPr>
        <xdr:cNvCxnSpPr/>
      </xdr:nvCxnSpPr>
      <xdr:spPr>
        <a:xfrm>
          <a:off x="13525635809" y="89010116"/>
          <a:ext cx="847890" cy="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400088</xdr:colOff>
      <xdr:row>435</xdr:row>
      <xdr:rowOff>128468</xdr:rowOff>
    </xdr:from>
    <xdr:to>
      <xdr:col>5</xdr:col>
      <xdr:colOff>400088</xdr:colOff>
      <xdr:row>437</xdr:row>
      <xdr:rowOff>132138</xdr:rowOff>
    </xdr:to>
    <xdr:cxnSp macro="">
      <xdr:nvCxnSpPr>
        <xdr:cNvPr id="42" name="Straight Connector 41">
          <a:extLst>
            <a:ext uri="{FF2B5EF4-FFF2-40B4-BE49-F238E27FC236}">
              <a16:creationId xmlns:a16="http://schemas.microsoft.com/office/drawing/2014/main" id="{6BE2AA18-60BD-0BEC-8EF2-5FE193E8ED1F}"/>
            </a:ext>
          </a:extLst>
        </xdr:cNvPr>
        <xdr:cNvCxnSpPr/>
      </xdr:nvCxnSpPr>
      <xdr:spPr>
        <a:xfrm>
          <a:off x="13526476358" y="88595347"/>
          <a:ext cx="0" cy="407427"/>
        </a:xfrm>
        <a:prstGeom prst="line">
          <a:avLst/>
        </a:prstGeom>
        <a:ln>
          <a:headEnd type="arrow"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179858</xdr:colOff>
      <xdr:row>437</xdr:row>
      <xdr:rowOff>150270</xdr:rowOff>
    </xdr:from>
    <xdr:ext cx="1299813" cy="251928"/>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3DFAA9F0-4E7E-3496-EDB7-1A9E5E553847}"/>
                </a:ext>
              </a:extLst>
            </xdr:cNvPr>
            <xdr:cNvSpPr txBox="1"/>
          </xdr:nvSpPr>
          <xdr:spPr>
            <a:xfrm>
              <a:off x="13525396775" y="89020906"/>
              <a:ext cx="1299813" cy="2519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1+6.09%</m:t>
                            </m:r>
                          </m:e>
                        </m:d>
                      </m:e>
                      <m:sup>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sup>
                    </m:sSup>
                  </m:oMath>
                </m:oMathPara>
              </a14:m>
              <a:endParaRPr lang="en-US" sz="1100"/>
            </a:p>
          </xdr:txBody>
        </xdr:sp>
      </mc:Choice>
      <mc:Fallback xmlns="">
        <xdr:sp macro="" textlink="">
          <xdr:nvSpPr>
            <xdr:cNvPr id="46" name="TextBox 45">
              <a:extLst>
                <a:ext uri="{FF2B5EF4-FFF2-40B4-BE49-F238E27FC236}">
                  <a16:creationId xmlns:a16="http://schemas.microsoft.com/office/drawing/2014/main" id="{3DFAA9F0-4E7E-3496-EDB7-1A9E5E553847}"/>
                </a:ext>
              </a:extLst>
            </xdr:cNvPr>
            <xdr:cNvSpPr txBox="1"/>
          </xdr:nvSpPr>
          <xdr:spPr>
            <a:xfrm>
              <a:off x="13525396775" y="89020906"/>
              <a:ext cx="1299813" cy="2519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∗(1+6.09%)^(3/12)</a:t>
              </a:r>
              <a:endParaRPr lang="en-US" sz="1100"/>
            </a:p>
          </xdr:txBody>
        </xdr:sp>
      </mc:Fallback>
    </mc:AlternateContent>
    <xdr:clientData/>
  </xdr:oneCellAnchor>
  <xdr:twoCellAnchor>
    <xdr:from>
      <xdr:col>6</xdr:col>
      <xdr:colOff>69740</xdr:colOff>
      <xdr:row>429</xdr:row>
      <xdr:rowOff>22023</xdr:rowOff>
    </xdr:from>
    <xdr:to>
      <xdr:col>7</xdr:col>
      <xdr:colOff>293642</xdr:colOff>
      <xdr:row>430</xdr:row>
      <xdr:rowOff>36705</xdr:rowOff>
    </xdr:to>
    <xdr:sp macro="" textlink="">
      <xdr:nvSpPr>
        <xdr:cNvPr id="47" name="Rectangle 46">
          <a:extLst>
            <a:ext uri="{FF2B5EF4-FFF2-40B4-BE49-F238E27FC236}">
              <a16:creationId xmlns:a16="http://schemas.microsoft.com/office/drawing/2014/main" id="{3EC64142-20ED-821F-76D4-1E20BFC6CC56}"/>
            </a:ext>
          </a:extLst>
        </xdr:cNvPr>
        <xdr:cNvSpPr/>
      </xdr:nvSpPr>
      <xdr:spPr>
        <a:xfrm>
          <a:off x="13524931069" y="87277630"/>
          <a:ext cx="1049769" cy="2165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 א</a:t>
          </a:r>
          <a:endParaRPr lang="en-US" sz="1100"/>
        </a:p>
      </xdr:txBody>
    </xdr:sp>
    <xdr:clientData/>
  </xdr:twoCellAnchor>
  <xdr:twoCellAnchor>
    <xdr:from>
      <xdr:col>6</xdr:col>
      <xdr:colOff>635000</xdr:colOff>
      <xdr:row>437</xdr:row>
      <xdr:rowOff>165173</xdr:rowOff>
    </xdr:from>
    <xdr:to>
      <xdr:col>8</xdr:col>
      <xdr:colOff>33035</xdr:colOff>
      <xdr:row>438</xdr:row>
      <xdr:rowOff>179856</xdr:rowOff>
    </xdr:to>
    <xdr:sp macro="" textlink="">
      <xdr:nvSpPr>
        <xdr:cNvPr id="48" name="Rectangle 47">
          <a:extLst>
            <a:ext uri="{FF2B5EF4-FFF2-40B4-BE49-F238E27FC236}">
              <a16:creationId xmlns:a16="http://schemas.microsoft.com/office/drawing/2014/main" id="{E1D47CCC-778D-08B0-62A3-FED10C8B9267}"/>
            </a:ext>
          </a:extLst>
        </xdr:cNvPr>
        <xdr:cNvSpPr/>
      </xdr:nvSpPr>
      <xdr:spPr>
        <a:xfrm>
          <a:off x="13524365809" y="89035809"/>
          <a:ext cx="1049769" cy="2165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 ב</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83654</xdr:colOff>
      <xdr:row>24</xdr:row>
      <xdr:rowOff>53234</xdr:rowOff>
    </xdr:from>
    <xdr:to>
      <xdr:col>3</xdr:col>
      <xdr:colOff>144492</xdr:colOff>
      <xdr:row>36</xdr:row>
      <xdr:rowOff>155898</xdr:rowOff>
    </xdr:to>
    <xdr:pic>
      <xdr:nvPicPr>
        <xdr:cNvPr id="2" name="Picture 1">
          <a:extLst>
            <a:ext uri="{FF2B5EF4-FFF2-40B4-BE49-F238E27FC236}">
              <a16:creationId xmlns:a16="http://schemas.microsoft.com/office/drawing/2014/main" id="{D71C325F-3E02-35A8-8DBC-01784DE36981}"/>
            </a:ext>
          </a:extLst>
        </xdr:cNvPr>
        <xdr:cNvPicPr>
          <a:picLocks noChangeAspect="1"/>
        </xdr:cNvPicPr>
      </xdr:nvPicPr>
      <xdr:blipFill>
        <a:blip xmlns:r="http://schemas.openxmlformats.org/officeDocument/2006/relationships" r:embed="rId1"/>
        <a:stretch>
          <a:fillRect/>
        </a:stretch>
      </xdr:blipFill>
      <xdr:spPr>
        <a:xfrm>
          <a:off x="13516142305" y="4950719"/>
          <a:ext cx="2536197" cy="2536197"/>
        </a:xfrm>
        <a:prstGeom prst="rect">
          <a:avLst/>
        </a:prstGeom>
      </xdr:spPr>
    </xdr:pic>
    <xdr:clientData/>
  </xdr:twoCellAnchor>
  <xdr:twoCellAnchor editAs="oneCell">
    <xdr:from>
      <xdr:col>4</xdr:col>
      <xdr:colOff>0</xdr:colOff>
      <xdr:row>39</xdr:row>
      <xdr:rowOff>201527</xdr:rowOff>
    </xdr:from>
    <xdr:to>
      <xdr:col>5</xdr:col>
      <xdr:colOff>254380</xdr:colOff>
      <xdr:row>48</xdr:row>
      <xdr:rowOff>89585</xdr:rowOff>
    </xdr:to>
    <xdr:pic>
      <xdr:nvPicPr>
        <xdr:cNvPr id="3" name="Picture 2">
          <a:extLst>
            <a:ext uri="{FF2B5EF4-FFF2-40B4-BE49-F238E27FC236}">
              <a16:creationId xmlns:a16="http://schemas.microsoft.com/office/drawing/2014/main" id="{D3DE1DD9-6CE6-5F0A-5FF5-FDCEA4E317E4}"/>
            </a:ext>
          </a:extLst>
        </xdr:cNvPr>
        <xdr:cNvPicPr>
          <a:picLocks noChangeAspect="1"/>
        </xdr:cNvPicPr>
      </xdr:nvPicPr>
      <xdr:blipFill>
        <a:blip xmlns:r="http://schemas.openxmlformats.org/officeDocument/2006/relationships" r:embed="rId2"/>
        <a:stretch>
          <a:fillRect/>
        </a:stretch>
      </xdr:blipFill>
      <xdr:spPr>
        <a:xfrm>
          <a:off x="13514382177" y="8152335"/>
          <a:ext cx="1079500" cy="1701800"/>
        </a:xfrm>
        <a:prstGeom prst="rect">
          <a:avLst/>
        </a:prstGeom>
      </xdr:spPr>
    </xdr:pic>
    <xdr:clientData/>
  </xdr:twoCellAnchor>
  <xdr:twoCellAnchor>
    <xdr:from>
      <xdr:col>5</xdr:col>
      <xdr:colOff>265709</xdr:colOff>
      <xdr:row>41</xdr:row>
      <xdr:rowOff>130603</xdr:rowOff>
    </xdr:from>
    <xdr:to>
      <xdr:col>7</xdr:col>
      <xdr:colOff>472872</xdr:colOff>
      <xdr:row>44</xdr:row>
      <xdr:rowOff>117092</xdr:rowOff>
    </xdr:to>
    <xdr:sp macro="" textlink="">
      <xdr:nvSpPr>
        <xdr:cNvPr id="4" name="Rounded Rectangular Callout 3">
          <a:extLst>
            <a:ext uri="{FF2B5EF4-FFF2-40B4-BE49-F238E27FC236}">
              <a16:creationId xmlns:a16="http://schemas.microsoft.com/office/drawing/2014/main" id="{C53D2609-7600-96CF-6E10-A38AF9DF4FDC}"/>
            </a:ext>
          </a:extLst>
        </xdr:cNvPr>
        <xdr:cNvSpPr/>
      </xdr:nvSpPr>
      <xdr:spPr>
        <a:xfrm>
          <a:off x="13496614255" y="8520709"/>
          <a:ext cx="1855461" cy="594468"/>
        </a:xfrm>
        <a:prstGeom prst="wedgeRoundRectCallout">
          <a:avLst>
            <a:gd name="adj1" fmla="val 66546"/>
            <a:gd name="adj2" fmla="val 381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לא יודע מה כדאי לעשות, עזרו לי בבקשה חמודים</a:t>
          </a:r>
          <a:endParaRPr lang="en-US" sz="1100"/>
        </a:p>
      </xdr:txBody>
    </xdr:sp>
    <xdr:clientData/>
  </xdr:twoCellAnchor>
  <xdr:twoCellAnchor editAs="oneCell">
    <xdr:from>
      <xdr:col>15</xdr:col>
      <xdr:colOff>0</xdr:colOff>
      <xdr:row>41</xdr:row>
      <xdr:rowOff>201042</xdr:rowOff>
    </xdr:from>
    <xdr:to>
      <xdr:col>16</xdr:col>
      <xdr:colOff>303415</xdr:colOff>
      <xdr:row>50</xdr:row>
      <xdr:rowOff>89099</xdr:rowOff>
    </xdr:to>
    <xdr:pic>
      <xdr:nvPicPr>
        <xdr:cNvPr id="5" name="Picture 4">
          <a:extLst>
            <a:ext uri="{FF2B5EF4-FFF2-40B4-BE49-F238E27FC236}">
              <a16:creationId xmlns:a16="http://schemas.microsoft.com/office/drawing/2014/main" id="{F78E7899-08C7-AC4D-A557-72AC4C5DAF88}"/>
            </a:ext>
          </a:extLst>
        </xdr:cNvPr>
        <xdr:cNvPicPr>
          <a:picLocks noChangeAspect="1"/>
        </xdr:cNvPicPr>
      </xdr:nvPicPr>
      <xdr:blipFill>
        <a:blip xmlns:r="http://schemas.openxmlformats.org/officeDocument/2006/relationships" r:embed="rId2"/>
        <a:stretch>
          <a:fillRect/>
        </a:stretch>
      </xdr:blipFill>
      <xdr:spPr>
        <a:xfrm>
          <a:off x="13483389558" y="8532046"/>
          <a:ext cx="1078164" cy="1697439"/>
        </a:xfrm>
        <a:prstGeom prst="rect">
          <a:avLst/>
        </a:prstGeom>
      </xdr:spPr>
    </xdr:pic>
    <xdr:clientData/>
  </xdr:twoCellAnchor>
  <xdr:twoCellAnchor>
    <xdr:from>
      <xdr:col>16</xdr:col>
      <xdr:colOff>314744</xdr:colOff>
      <xdr:row>43</xdr:row>
      <xdr:rowOff>130118</xdr:rowOff>
    </xdr:from>
    <xdr:to>
      <xdr:col>18</xdr:col>
      <xdr:colOff>521907</xdr:colOff>
      <xdr:row>46</xdr:row>
      <xdr:rowOff>9807</xdr:rowOff>
    </xdr:to>
    <xdr:sp macro="" textlink="">
      <xdr:nvSpPr>
        <xdr:cNvPr id="6" name="Rounded Rectangular Callout 5">
          <a:extLst>
            <a:ext uri="{FF2B5EF4-FFF2-40B4-BE49-F238E27FC236}">
              <a16:creationId xmlns:a16="http://schemas.microsoft.com/office/drawing/2014/main" id="{4EA21604-FDF6-674B-9BE6-7BA971858C23}"/>
            </a:ext>
          </a:extLst>
        </xdr:cNvPr>
        <xdr:cNvSpPr/>
      </xdr:nvSpPr>
      <xdr:spPr>
        <a:xfrm>
          <a:off x="13481523499" y="8863207"/>
          <a:ext cx="1854730" cy="482816"/>
        </a:xfrm>
        <a:prstGeom prst="wedgeRoundRectCallout">
          <a:avLst>
            <a:gd name="adj1" fmla="val 66546"/>
            <a:gd name="adj2" fmla="val 381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מעדיף חכירה, או כמו שפרופ׳ מנוס אומרת: חריכה</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22241</xdr:colOff>
      <xdr:row>1</xdr:row>
      <xdr:rowOff>25744</xdr:rowOff>
    </xdr:from>
    <xdr:to>
      <xdr:col>7</xdr:col>
      <xdr:colOff>789460</xdr:colOff>
      <xdr:row>27</xdr:row>
      <xdr:rowOff>98682</xdr:rowOff>
    </xdr:to>
    <xdr:sp macro="" textlink="">
      <xdr:nvSpPr>
        <xdr:cNvPr id="2" name="TextBox 1">
          <a:extLst>
            <a:ext uri="{FF2B5EF4-FFF2-40B4-BE49-F238E27FC236}">
              <a16:creationId xmlns:a16="http://schemas.microsoft.com/office/drawing/2014/main" id="{F4C116EF-FB10-1004-C9E2-18EFF129FB3D}"/>
            </a:ext>
          </a:extLst>
        </xdr:cNvPr>
        <xdr:cNvSpPr txBox="1"/>
      </xdr:nvSpPr>
      <xdr:spPr>
        <a:xfrm>
          <a:off x="13490317568" y="227399"/>
          <a:ext cx="6533705" cy="53159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b="1" u="sng">
              <a:effectLst/>
              <a:latin typeface="David" panose="020E0502060401010101" pitchFamily="34" charset="-79"/>
              <a:cs typeface="David" panose="020E0502060401010101" pitchFamily="34" charset="-79"/>
            </a:rPr>
            <a:t>המבחן בקורס מימון מתקדם 2025א</a:t>
          </a:r>
          <a:endParaRPr lang="he-IL" b="1">
            <a:effectLst/>
            <a:latin typeface="David" panose="020E0502060401010101" pitchFamily="34" charset="-79"/>
            <a:cs typeface="David" panose="020E0502060401010101" pitchFamily="34" charset="-79"/>
          </a:endParaRPr>
        </a:p>
        <a:p>
          <a:pPr rtl="1"/>
          <a:r>
            <a:rPr lang="he-IL">
              <a:effectLst/>
              <a:latin typeface="David" panose="020E0502060401010101" pitchFamily="34" charset="-79"/>
              <a:cs typeface="David" panose="020E0502060401010101" pitchFamily="34" charset="-79"/>
            </a:rPr>
            <a:t>משך הבחינה הוא שעתיים וחצי (150 דקות) והיא כוללת שני חלקים כאשר כל שאלה יכולה לכלול חלקים חישוביים או מרכיב הבנה (ניתוח איכותני). להלן הסבר לגבי כל חלק:</a:t>
          </a:r>
        </a:p>
        <a:p>
          <a:pPr rtl="1"/>
          <a:endParaRPr lang="he-IL">
            <a:effectLst/>
            <a:latin typeface="David" panose="020E0502060401010101" pitchFamily="34" charset="-79"/>
            <a:cs typeface="David" panose="020E0502060401010101" pitchFamily="34" charset="-79"/>
          </a:endParaRPr>
        </a:p>
        <a:p>
          <a:pPr rtl="1"/>
          <a:r>
            <a:rPr lang="he-IL" b="1" u="sng">
              <a:effectLst/>
              <a:latin typeface="David" panose="020E0502060401010101" pitchFamily="34" charset="-79"/>
              <a:cs typeface="David" panose="020E0502060401010101" pitchFamily="34" charset="-79"/>
            </a:rPr>
            <a:t>חלק א - שאלות פתוחות, במשקל 90 נק</a:t>
          </a:r>
          <a:r>
            <a:rPr lang="he-IL" b="1">
              <a:effectLst/>
              <a:latin typeface="David" panose="020E0502060401010101" pitchFamily="34" charset="-79"/>
              <a:cs typeface="David" panose="020E0502060401010101" pitchFamily="34" charset="-79"/>
            </a:rPr>
            <a:t>׳</a:t>
          </a:r>
        </a:p>
        <a:p>
          <a:pPr rtl="1"/>
          <a:r>
            <a:rPr lang="he-IL">
              <a:effectLst/>
              <a:latin typeface="David" panose="020E0502060401010101" pitchFamily="34" charset="-79"/>
              <a:cs typeface="David" panose="020E0502060401010101" pitchFamily="34" charset="-79"/>
            </a:rPr>
            <a:t>בחלק זה 3 שאלות פתוחות. יש להשיב על כולן. משקל כל שאלה בחלק זה זהה, והוא 30 נק׳.</a:t>
          </a:r>
        </a:p>
        <a:p>
          <a:pPr rtl="1"/>
          <a:endParaRPr lang="he-IL">
            <a:solidFill>
              <a:srgbClr val="FF0000"/>
            </a:solidFill>
            <a:effectLst/>
            <a:latin typeface="David" panose="020E0502060401010101" pitchFamily="34" charset="-79"/>
            <a:cs typeface="David" panose="020E0502060401010101" pitchFamily="34" charset="-79"/>
          </a:endParaRPr>
        </a:p>
        <a:p>
          <a:pPr rtl="1"/>
          <a:r>
            <a:rPr lang="he-IL">
              <a:solidFill>
                <a:srgbClr val="FF0000"/>
              </a:solidFill>
              <a:effectLst/>
              <a:latin typeface="David" panose="020E0502060401010101" pitchFamily="34" charset="-79"/>
              <a:cs typeface="David" panose="020E0502060401010101" pitchFamily="34" charset="-79"/>
            </a:rPr>
            <a:t>השאלות</a:t>
          </a:r>
          <a:r>
            <a:rPr lang="he-IL" baseline="0">
              <a:solidFill>
                <a:srgbClr val="FF0000"/>
              </a:solidFill>
              <a:effectLst/>
              <a:latin typeface="David" panose="020E0502060401010101" pitchFamily="34" charset="-79"/>
              <a:cs typeface="David" panose="020E0502060401010101" pitchFamily="34" charset="-79"/>
            </a:rPr>
            <a:t> הפתוחות יכולות להיות בכל הנושאים, ללא יוצא מן הכלל, בשים לב לכך שבשאלות אג״ח ומניות סביר מאד להניח שיהיה רכיב חישובי משמעותי, ואילו בשאלות מח״מ(שהוצג בקצרה בלבד), מבנה הון וליסינג הדיון הוא יותר תיאורטי. </a:t>
          </a:r>
        </a:p>
        <a:p>
          <a:pPr rtl="1"/>
          <a:endParaRPr lang="he-IL" baseline="0">
            <a:solidFill>
              <a:srgbClr val="FF0000"/>
            </a:solidFill>
            <a:effectLst/>
            <a:latin typeface="David" panose="020E0502060401010101" pitchFamily="34" charset="-79"/>
            <a:cs typeface="David" panose="020E0502060401010101" pitchFamily="34" charset="-79"/>
          </a:endParaRPr>
        </a:p>
        <a:p>
          <a:pPr rtl="1"/>
          <a:r>
            <a:rPr lang="he-IL" baseline="0">
              <a:solidFill>
                <a:srgbClr val="FF0000"/>
              </a:solidFill>
              <a:effectLst/>
              <a:latin typeface="David" panose="020E0502060401010101" pitchFamily="34" charset="-79"/>
              <a:cs typeface="David" panose="020E0502060401010101" pitchFamily="34" charset="-79"/>
            </a:rPr>
            <a:t>בשאלות אלו יינתן משקל משמעותי לדרך, להבניית הפתרון, להבנה, וככל שיהיה רלוונטי - להנחות הפתרון. </a:t>
          </a:r>
        </a:p>
        <a:p>
          <a:pPr rtl="1"/>
          <a:endParaRPr lang="he-IL">
            <a:effectLst/>
            <a:latin typeface="David" panose="020E0502060401010101" pitchFamily="34" charset="-79"/>
            <a:cs typeface="David" panose="020E0502060401010101" pitchFamily="34" charset="-79"/>
          </a:endParaRPr>
        </a:p>
        <a:p>
          <a:pPr rtl="1"/>
          <a:r>
            <a:rPr lang="he-IL" b="1" u="sng">
              <a:effectLst/>
              <a:latin typeface="David" panose="020E0502060401010101" pitchFamily="34" charset="-79"/>
              <a:cs typeface="David" panose="020E0502060401010101" pitchFamily="34" charset="-79"/>
            </a:rPr>
            <a:t>חלק ב - שאלות רב-ברירה, במשקל 10 נק׳</a:t>
          </a:r>
          <a:endParaRPr lang="he-IL" b="1">
            <a:effectLst/>
            <a:latin typeface="David" panose="020E0502060401010101" pitchFamily="34" charset="-79"/>
            <a:cs typeface="David" panose="020E0502060401010101" pitchFamily="34" charset="-79"/>
          </a:endParaRPr>
        </a:p>
        <a:p>
          <a:pPr rtl="1"/>
          <a:r>
            <a:rPr lang="he-IL">
              <a:effectLst/>
              <a:latin typeface="David" panose="020E0502060401010101" pitchFamily="34" charset="-79"/>
              <a:cs typeface="David" panose="020E0502060401010101" pitchFamily="34" charset="-79"/>
            </a:rPr>
            <a:t>בחלק זה 2 שאלות רב-ברירה - אמריקאיות. משקל כל שאלה בחלק זה זהה, והוא 5 נק׳.  יש לציין באופן בולט את התשובה הנכונה. בחלק זה לא ייבדק הנימוק.</a:t>
          </a:r>
        </a:p>
        <a:p>
          <a:pPr rtl="1"/>
          <a:endParaRPr lang="he-IL">
            <a:effectLst/>
            <a:latin typeface="David" panose="020E0502060401010101" pitchFamily="34" charset="-79"/>
            <a:cs typeface="David" panose="020E0502060401010101" pitchFamily="34" charset="-79"/>
          </a:endParaRPr>
        </a:p>
        <a:p>
          <a:pPr rtl="1"/>
          <a:r>
            <a:rPr lang="he-IL">
              <a:solidFill>
                <a:srgbClr val="FF0000"/>
              </a:solidFill>
              <a:effectLst/>
              <a:latin typeface="David" panose="020E0502060401010101" pitchFamily="34" charset="-79"/>
              <a:cs typeface="David" panose="020E0502060401010101" pitchFamily="34" charset="-79"/>
            </a:rPr>
            <a:t>אין ניקוד חלקי,</a:t>
          </a:r>
          <a:r>
            <a:rPr lang="he-IL" baseline="0">
              <a:solidFill>
                <a:srgbClr val="FF0000"/>
              </a:solidFill>
              <a:effectLst/>
              <a:latin typeface="David" panose="020E0502060401010101" pitchFamily="34" charset="-79"/>
              <a:cs typeface="David" panose="020E0502060401010101" pitchFamily="34" charset="-79"/>
            </a:rPr>
            <a:t> ואין עררים. </a:t>
          </a:r>
          <a:endParaRPr lang="he-IL">
            <a:solidFill>
              <a:srgbClr val="FF0000"/>
            </a:solidFill>
            <a:effectLst/>
            <a:latin typeface="David" panose="020E0502060401010101" pitchFamily="34" charset="-79"/>
            <a:cs typeface="David" panose="020E0502060401010101" pitchFamily="34" charset="-79"/>
          </a:endParaRPr>
        </a:p>
        <a:p>
          <a:pPr rtl="1"/>
          <a:endParaRPr lang="he-IL">
            <a:effectLst/>
            <a:latin typeface="David" panose="020E0502060401010101" pitchFamily="34" charset="-79"/>
            <a:cs typeface="David" panose="020E0502060401010101" pitchFamily="34" charset="-79"/>
          </a:endParaRPr>
        </a:p>
        <a:p>
          <a:pPr rtl="1"/>
          <a:r>
            <a:rPr lang="he-IL" b="1" u="sng">
              <a:effectLst/>
              <a:latin typeface="David" panose="020E0502060401010101" pitchFamily="34" charset="-79"/>
              <a:cs typeface="David" panose="020E0502060401010101" pitchFamily="34" charset="-79"/>
            </a:rPr>
            <a:t>הנחיות נוספות</a:t>
          </a:r>
          <a:r>
            <a:rPr lang="he-IL" b="1">
              <a:effectLst/>
              <a:latin typeface="David" panose="020E0502060401010101" pitchFamily="34" charset="-79"/>
              <a:cs typeface="David" panose="020E0502060401010101" pitchFamily="34" charset="-79"/>
            </a:rPr>
            <a:t>:                        </a:t>
          </a:r>
        </a:p>
        <a:p>
          <a:pPr rtl="1"/>
          <a:r>
            <a:rPr lang="he-IL">
              <a:effectLst/>
              <a:latin typeface="David" panose="020E0502060401010101" pitchFamily="34" charset="-79"/>
              <a:cs typeface="David" panose="020E0502060401010101" pitchFamily="34" charset="-79"/>
            </a:rPr>
            <a:t>חומר עזר מותר: </a:t>
          </a:r>
        </a:p>
        <a:p>
          <a:pPr rtl="1"/>
          <a:r>
            <a:rPr lang="he-IL">
              <a:effectLst/>
              <a:latin typeface="David" panose="020E0502060401010101" pitchFamily="34" charset="-79"/>
              <a:cs typeface="David" panose="020E0502060401010101" pitchFamily="34" charset="-79"/>
            </a:rPr>
            <a:t>כל חומר עזר כתוב (ידנית / מודפס) מותר בשימוש.  </a:t>
          </a:r>
        </a:p>
        <a:p>
          <a:pPr rtl="1"/>
          <a:r>
            <a:rPr lang="he-IL">
              <a:effectLst/>
              <a:latin typeface="David" panose="020E0502060401010101" pitchFamily="34" charset="-79"/>
              <a:cs typeface="David" panose="020E0502060401010101" pitchFamily="34" charset="-79"/>
            </a:rPr>
            <a:t>כמו כן, מותר בשימוש מחשבון מדעי ו/או פיננסי (אם כי חובה לפרט את כלל הדרך החישובית באקסל). </a:t>
          </a:r>
        </a:p>
        <a:p>
          <a:pPr rtl="1"/>
          <a:r>
            <a:rPr lang="he-IL">
              <a:effectLst/>
              <a:latin typeface="David" panose="020E0502060401010101" pitchFamily="34" charset="-79"/>
              <a:cs typeface="David" panose="020E0502060401010101" pitchFamily="34" charset="-79"/>
            </a:rPr>
            <a:t>חשוב להדגיש שבמהלך הבחינה, יש לשאול שאלות הקשורות להבנת הנקרא בלבד. </a:t>
          </a:r>
        </a:p>
        <a:p>
          <a:pPr rtl="1"/>
          <a:endParaRPr lang="he-IL">
            <a:effectLst/>
            <a:latin typeface="David" panose="020E0502060401010101" pitchFamily="34" charset="-79"/>
            <a:cs typeface="David" panose="020E0502060401010101" pitchFamily="34" charset="-79"/>
          </a:endParaRPr>
        </a:p>
        <a:p>
          <a:pPr rtl="1"/>
          <a:r>
            <a:rPr lang="he-IL" b="1" u="sng">
              <a:effectLst/>
              <a:latin typeface="David" panose="020E0502060401010101" pitchFamily="34" charset="-79"/>
              <a:cs typeface="David" panose="020E0502060401010101" pitchFamily="34" charset="-79"/>
            </a:rPr>
            <a:t>מיקוד החומר:</a:t>
          </a:r>
          <a:endParaRPr lang="he-IL" b="1">
            <a:effectLst/>
            <a:latin typeface="David" panose="020E0502060401010101" pitchFamily="34" charset="-79"/>
            <a:cs typeface="David" panose="020E0502060401010101" pitchFamily="34" charset="-79"/>
          </a:endParaRPr>
        </a:p>
        <a:p>
          <a:pPr rtl="1"/>
          <a:r>
            <a:rPr lang="he-IL">
              <a:effectLst/>
              <a:latin typeface="David" panose="020E0502060401010101" pitchFamily="34" charset="-79"/>
              <a:cs typeface="David" panose="020E0502060401010101" pitchFamily="34" charset="-79"/>
            </a:rPr>
            <a:t>הנושאים כוללים: אג"ח, מניות, עלות הון (מחיר הון עצמי / מחיר הון זר וריבית על אג״ח), מבנה הון וליסינג/חכירה.  </a:t>
          </a:r>
        </a:p>
        <a:p>
          <a:pPr rtl="1"/>
          <a:r>
            <a:rPr lang="he-IL">
              <a:effectLst/>
              <a:latin typeface="David" panose="020E0502060401010101" pitchFamily="34" charset="-79"/>
              <a:cs typeface="David" panose="020E0502060401010101" pitchFamily="34" charset="-79"/>
            </a:rPr>
            <a:t>שאלות בנושאים: מח"מ, מבנה הון וליסינג/חכירה הם ברמת הבנה בלבד (</a:t>
          </a:r>
          <a:r>
            <a:rPr lang="he-IL" b="1">
              <a:effectLst/>
              <a:latin typeface="David" panose="020E0502060401010101" pitchFamily="34" charset="-79"/>
              <a:cs typeface="David" panose="020E0502060401010101" pitchFamily="34" charset="-79"/>
            </a:rPr>
            <a:t>ללא חישוב</a:t>
          </a:r>
          <a:r>
            <a:rPr lang="he-IL">
              <a:effectLst/>
              <a:latin typeface="David" panose="020E0502060401010101" pitchFamily="34" charset="-79"/>
              <a:cs typeface="David" panose="020E0502060401010101" pitchFamily="34" charset="-79"/>
            </a:rPr>
            <a:t>).</a:t>
          </a:r>
          <a:endParaRPr lang="en-US">
            <a:effectLst/>
            <a:latin typeface="David" panose="020E0502060401010101" pitchFamily="34" charset="-79"/>
            <a:cs typeface="David" panose="020E0502060401010101" pitchFamily="34" charset="-79"/>
          </a:endParaRPr>
        </a:p>
        <a:p>
          <a:pPr rtl="1"/>
          <a:endParaRPr lang="en-US">
            <a:effectLst/>
            <a:latin typeface="David" panose="020E0502060401010101" pitchFamily="34" charset="-79"/>
            <a:cs typeface="David" panose="020E0502060401010101" pitchFamily="34" charset="-79"/>
          </a:endParaRPr>
        </a:p>
        <a:p>
          <a:pPr rtl="1"/>
          <a:r>
            <a:rPr lang="he-IL">
              <a:effectLst/>
              <a:latin typeface="David" panose="020E0502060401010101" pitchFamily="34" charset="-79"/>
              <a:cs typeface="David" panose="020E0502060401010101" pitchFamily="34" charset="-79"/>
            </a:rPr>
            <a:t>למען</a:t>
          </a:r>
          <a:r>
            <a:rPr lang="he-IL" baseline="0">
              <a:effectLst/>
              <a:latin typeface="David" panose="020E0502060401010101" pitchFamily="34" charset="-79"/>
              <a:cs typeface="David" panose="020E0502060401010101" pitchFamily="34" charset="-79"/>
            </a:rPr>
            <a:t> הסר ספק - חישובית כן צריך:</a:t>
          </a:r>
        </a:p>
        <a:p>
          <a:pPr rtl="1"/>
          <a:r>
            <a:rPr lang="he-IL" baseline="0">
              <a:solidFill>
                <a:srgbClr val="FF0000"/>
              </a:solidFill>
              <a:effectLst/>
              <a:latin typeface="David" panose="020E0502060401010101" pitchFamily="34" charset="-79"/>
              <a:cs typeface="David" panose="020E0502060401010101" pitchFamily="34" charset="-79"/>
            </a:rPr>
            <a:t>צריך לדעת כיצד מחלצים את מחיר ההון הזר באג״ח.</a:t>
          </a:r>
        </a:p>
        <a:p>
          <a:pPr rtl="1"/>
          <a:r>
            <a:rPr lang="he-IL" baseline="0">
              <a:solidFill>
                <a:srgbClr val="FF0000"/>
              </a:solidFill>
              <a:effectLst/>
              <a:latin typeface="David" panose="020E0502060401010101" pitchFamily="34" charset="-79"/>
              <a:cs typeface="David" panose="020E0502060401010101" pitchFamily="34" charset="-79"/>
            </a:rPr>
            <a:t>צריך לדעת כיצד מחלצים את מחיר ההון העצמי על ידי נוסחת תמחור מניות ו/או </a:t>
          </a:r>
          <a:r>
            <a:rPr lang="en-US" baseline="0">
              <a:solidFill>
                <a:srgbClr val="FF0000"/>
              </a:solidFill>
              <a:effectLst/>
              <a:latin typeface="David" panose="020E0502060401010101" pitchFamily="34" charset="-79"/>
              <a:cs typeface="David" panose="020E0502060401010101" pitchFamily="34" charset="-79"/>
            </a:rPr>
            <a:t>CAPM</a:t>
          </a:r>
          <a:r>
            <a:rPr lang="he-IL" baseline="0">
              <a:solidFill>
                <a:srgbClr val="FF0000"/>
              </a:solidFill>
              <a:effectLst/>
              <a:latin typeface="David" panose="020E0502060401010101" pitchFamily="34" charset="-79"/>
              <a:cs typeface="David" panose="020E0502060401010101" pitchFamily="34" charset="-79"/>
            </a:rPr>
            <a:t>. </a:t>
          </a:r>
        </a:p>
        <a:p>
          <a:pPr rtl="1"/>
          <a:r>
            <a:rPr lang="he-IL" baseline="0">
              <a:solidFill>
                <a:srgbClr val="FF0000"/>
              </a:solidFill>
              <a:effectLst/>
              <a:latin typeface="David" panose="020E0502060401010101" pitchFamily="34" charset="-79"/>
              <a:cs typeface="David" panose="020E0502060401010101" pitchFamily="34" charset="-79"/>
            </a:rPr>
            <a:t>צריך לדעת כיצד משקללים את מחיר ההון הזר ואת מחיר העצמי כדי לחשב את מחיר ההון הכולל </a:t>
          </a:r>
          <a:r>
            <a:rPr lang="en-US" baseline="0">
              <a:solidFill>
                <a:srgbClr val="FF0000"/>
              </a:solidFill>
              <a:effectLst/>
              <a:latin typeface="David" panose="020E0502060401010101" pitchFamily="34" charset="-79"/>
              <a:cs typeface="David" panose="020E0502060401010101" pitchFamily="34" charset="-79"/>
            </a:rPr>
            <a:t>WACC</a:t>
          </a:r>
          <a:r>
            <a:rPr lang="he-IL" baseline="0">
              <a:solidFill>
                <a:srgbClr val="FF0000"/>
              </a:solidFill>
              <a:effectLst/>
              <a:latin typeface="David" panose="020E0502060401010101" pitchFamily="34" charset="-79"/>
              <a:cs typeface="David" panose="020E0502060401010101" pitchFamily="34" charset="-79"/>
            </a:rPr>
            <a:t>. </a:t>
          </a:r>
        </a:p>
        <a:p>
          <a:pPr rtl="1"/>
          <a:endParaRPr lang="he-IL" baseline="0">
            <a:solidFill>
              <a:srgbClr val="FF0000"/>
            </a:solidFill>
            <a:effectLst/>
            <a:latin typeface="David" panose="020E0502060401010101" pitchFamily="34" charset="-79"/>
            <a:cs typeface="David" panose="020E0502060401010101" pitchFamily="34" charset="-79"/>
          </a:endParaRPr>
        </a:p>
        <a:p>
          <a:pPr rtl="1"/>
          <a:r>
            <a:rPr lang="he-IL" baseline="0">
              <a:solidFill>
                <a:srgbClr val="FF0000"/>
              </a:solidFill>
              <a:effectLst/>
              <a:latin typeface="David" panose="020E0502060401010101" pitchFamily="34" charset="-79"/>
              <a:cs typeface="David" panose="020E0502060401010101" pitchFamily="34" charset="-79"/>
            </a:rPr>
            <a:t>אז מה לא צריך לדעת חישובית בהקשר למבנה ההון?</a:t>
          </a:r>
        </a:p>
        <a:p>
          <a:pPr rtl="1"/>
          <a:r>
            <a:rPr lang="he-IL" baseline="0">
              <a:solidFill>
                <a:srgbClr val="FF0000"/>
              </a:solidFill>
              <a:effectLst/>
              <a:latin typeface="David" panose="020E0502060401010101" pitchFamily="34" charset="-79"/>
              <a:cs typeface="David" panose="020E0502060401010101" pitchFamily="34" charset="-79"/>
            </a:rPr>
            <a:t>את ההשפעות של שינוי מקורות המימון בחברה (מינוף פיננסי, נטילת חוב) על מחיר ההון המשוקלל </a:t>
          </a:r>
          <a:r>
            <a:rPr lang="en-US" baseline="0">
              <a:solidFill>
                <a:srgbClr val="FF0000"/>
              </a:solidFill>
              <a:effectLst/>
              <a:latin typeface="David" panose="020E0502060401010101" pitchFamily="34" charset="-79"/>
              <a:cs typeface="David" panose="020E0502060401010101" pitchFamily="34" charset="-79"/>
            </a:rPr>
            <a:t>WACC</a:t>
          </a:r>
          <a:r>
            <a:rPr lang="he-IL" baseline="0">
              <a:solidFill>
                <a:srgbClr val="FF0000"/>
              </a:solidFill>
              <a:effectLst/>
              <a:latin typeface="David" panose="020E0502060401010101" pitchFamily="34" charset="-79"/>
              <a:cs typeface="David" panose="020E0502060401010101" pitchFamily="34" charset="-79"/>
            </a:rPr>
            <a:t> ובהתאם על שווי החברה (מודל מודיליאני ומילר - ידע תיאורטי בלבד). </a:t>
          </a:r>
          <a:endParaRPr lang="he-IL">
            <a:solidFill>
              <a:srgbClr val="FF0000"/>
            </a:solidFill>
            <a:effectLst/>
            <a:latin typeface="David" panose="020E0502060401010101" pitchFamily="34" charset="-79"/>
            <a:cs typeface="David" panose="020E0502060401010101" pitchFamily="34" charset="-79"/>
          </a:endParaRPr>
        </a:p>
        <a:p>
          <a:pPr rtl="1"/>
          <a:endParaRPr lang="he-IL" sz="1100">
            <a:effectLst/>
            <a:latin typeface="David" panose="020E0502060401010101" pitchFamily="34" charset="-79"/>
            <a:cs typeface="David" panose="020E0502060401010101" pitchFamily="34" charset="-79"/>
          </a:endParaRPr>
        </a:p>
        <a:p>
          <a:pPr rtl="1"/>
          <a:endParaRPr lang="en-US" sz="1100">
            <a:latin typeface="David" panose="020E0502060401010101" pitchFamily="34" charset="-79"/>
            <a:cs typeface="David" panose="020E0502060401010101" pitchFamily="34" charset="-79"/>
          </a:endParaRPr>
        </a:p>
      </xdr:txBody>
    </xdr:sp>
    <xdr:clientData/>
  </xdr:twoCellAnchor>
  <xdr:twoCellAnchor>
    <xdr:from>
      <xdr:col>0</xdr:col>
      <xdr:colOff>482599</xdr:colOff>
      <xdr:row>50</xdr:row>
      <xdr:rowOff>68942</xdr:rowOff>
    </xdr:from>
    <xdr:to>
      <xdr:col>7</xdr:col>
      <xdr:colOff>58056</xdr:colOff>
      <xdr:row>50</xdr:row>
      <xdr:rowOff>101599</xdr:rowOff>
    </xdr:to>
    <xdr:cxnSp macro="">
      <xdr:nvCxnSpPr>
        <xdr:cNvPr id="4" name="Straight Arrow Connector 3">
          <a:extLst>
            <a:ext uri="{FF2B5EF4-FFF2-40B4-BE49-F238E27FC236}">
              <a16:creationId xmlns:a16="http://schemas.microsoft.com/office/drawing/2014/main" id="{A94331B2-F354-1DA2-7AB5-01C83980C52D}"/>
            </a:ext>
          </a:extLst>
        </xdr:cNvPr>
        <xdr:cNvCxnSpPr/>
      </xdr:nvCxnSpPr>
      <xdr:spPr>
        <a:xfrm>
          <a:off x="13548868001" y="10461171"/>
          <a:ext cx="5366657" cy="3265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482599</xdr:colOff>
      <xdr:row>56</xdr:row>
      <xdr:rowOff>68942</xdr:rowOff>
    </xdr:from>
    <xdr:to>
      <xdr:col>7</xdr:col>
      <xdr:colOff>58056</xdr:colOff>
      <xdr:row>56</xdr:row>
      <xdr:rowOff>101599</xdr:rowOff>
    </xdr:to>
    <xdr:cxnSp macro="">
      <xdr:nvCxnSpPr>
        <xdr:cNvPr id="7" name="Straight Arrow Connector 6">
          <a:extLst>
            <a:ext uri="{FF2B5EF4-FFF2-40B4-BE49-F238E27FC236}">
              <a16:creationId xmlns:a16="http://schemas.microsoft.com/office/drawing/2014/main" id="{FFA4C01A-DC98-ED4E-8C3D-9002218075ED}"/>
            </a:ext>
          </a:extLst>
        </xdr:cNvPr>
        <xdr:cNvCxnSpPr/>
      </xdr:nvCxnSpPr>
      <xdr:spPr>
        <a:xfrm>
          <a:off x="13548868001" y="10461171"/>
          <a:ext cx="5366657" cy="3265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482599</xdr:colOff>
      <xdr:row>63</xdr:row>
      <xdr:rowOff>68942</xdr:rowOff>
    </xdr:from>
    <xdr:to>
      <xdr:col>7</xdr:col>
      <xdr:colOff>58056</xdr:colOff>
      <xdr:row>63</xdr:row>
      <xdr:rowOff>101599</xdr:rowOff>
    </xdr:to>
    <xdr:cxnSp macro="">
      <xdr:nvCxnSpPr>
        <xdr:cNvPr id="8" name="Straight Arrow Connector 7">
          <a:extLst>
            <a:ext uri="{FF2B5EF4-FFF2-40B4-BE49-F238E27FC236}">
              <a16:creationId xmlns:a16="http://schemas.microsoft.com/office/drawing/2014/main" id="{163B0E7A-9331-A345-B6EF-E27CF1252AD8}"/>
            </a:ext>
          </a:extLst>
        </xdr:cNvPr>
        <xdr:cNvCxnSpPr/>
      </xdr:nvCxnSpPr>
      <xdr:spPr>
        <a:xfrm>
          <a:off x="13548868001" y="11680371"/>
          <a:ext cx="5366657" cy="3265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725714</xdr:colOff>
      <xdr:row>78</xdr:row>
      <xdr:rowOff>18143</xdr:rowOff>
    </xdr:from>
    <xdr:to>
      <xdr:col>4</xdr:col>
      <xdr:colOff>21771</xdr:colOff>
      <xdr:row>80</xdr:row>
      <xdr:rowOff>14514</xdr:rowOff>
    </xdr:to>
    <xdr:sp macro="" textlink="">
      <xdr:nvSpPr>
        <xdr:cNvPr id="9" name="Right Brace 8">
          <a:extLst>
            <a:ext uri="{FF2B5EF4-FFF2-40B4-BE49-F238E27FC236}">
              <a16:creationId xmlns:a16="http://schemas.microsoft.com/office/drawing/2014/main" id="{6C0E6E7C-78B6-8F74-0EB6-D9EA1D7FC729}"/>
            </a:ext>
          </a:extLst>
        </xdr:cNvPr>
        <xdr:cNvSpPr/>
      </xdr:nvSpPr>
      <xdr:spPr>
        <a:xfrm>
          <a:off x="13551386229" y="15954829"/>
          <a:ext cx="123371" cy="402771"/>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268514</xdr:colOff>
      <xdr:row>79</xdr:row>
      <xdr:rowOff>10885</xdr:rowOff>
    </xdr:from>
    <xdr:to>
      <xdr:col>3</xdr:col>
      <xdr:colOff>725714</xdr:colOff>
      <xdr:row>80</xdr:row>
      <xdr:rowOff>54428</xdr:rowOff>
    </xdr:to>
    <xdr:cxnSp macro="">
      <xdr:nvCxnSpPr>
        <xdr:cNvPr id="11" name="Straight Arrow Connector 10">
          <a:extLst>
            <a:ext uri="{FF2B5EF4-FFF2-40B4-BE49-F238E27FC236}">
              <a16:creationId xmlns:a16="http://schemas.microsoft.com/office/drawing/2014/main" id="{9B9D8B8C-A1C0-0702-3F90-ED1ACBA3DA55}"/>
            </a:ext>
          </a:extLst>
        </xdr:cNvPr>
        <xdr:cNvCxnSpPr/>
      </xdr:nvCxnSpPr>
      <xdr:spPr>
        <a:xfrm>
          <a:off x="13551509600" y="16150771"/>
          <a:ext cx="1284514" cy="2467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515257</xdr:colOff>
      <xdr:row>129</xdr:row>
      <xdr:rowOff>161472</xdr:rowOff>
    </xdr:from>
    <xdr:ext cx="1539540" cy="344582"/>
    <mc:AlternateContent xmlns:mc="http://schemas.openxmlformats.org/markup-compatibility/2006">
      <mc:Choice xmlns:a14="http://schemas.microsoft.com/office/drawing/2010/main" Requires="a14">
        <xdr:sp macro="" textlink="">
          <xdr:nvSpPr>
            <xdr:cNvPr id="12" name="TextBox 11">
              <a:extLst>
                <a:ext uri="{FF2B5EF4-FFF2-40B4-BE49-F238E27FC236}">
                  <a16:creationId xmlns:a16="http://schemas.microsoft.com/office/drawing/2014/main" id="{169AFA22-41A2-C498-8E2A-97602BE9825C}"/>
                </a:ext>
              </a:extLst>
            </xdr:cNvPr>
            <xdr:cNvSpPr txBox="1"/>
          </xdr:nvSpPr>
          <xdr:spPr>
            <a:xfrm>
              <a:off x="13552662460" y="26853243"/>
              <a:ext cx="1539540"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dr:sp macro="" textlink="">
          <xdr:nvSpPr>
            <xdr:cNvPr id="12" name="TextBox 11">
              <a:extLst>
                <a:ext uri="{FF2B5EF4-FFF2-40B4-BE49-F238E27FC236}">
                  <a16:creationId xmlns:a16="http://schemas.microsoft.com/office/drawing/2014/main" id="{169AFA22-41A2-C498-8E2A-97602BE9825C}"/>
                </a:ext>
              </a:extLst>
            </xdr:cNvPr>
            <xdr:cNvSpPr txBox="1"/>
          </xdr:nvSpPr>
          <xdr:spPr>
            <a:xfrm>
              <a:off x="13552662460" y="26853243"/>
              <a:ext cx="1539540"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𝑃_𝑆=𝐷𝑖𝑣/(𝑘_𝐸−𝑔)</a:t>
              </a:r>
              <a:endParaRPr lang="en-US" sz="1100"/>
            </a:p>
          </xdr:txBody>
        </xdr:sp>
      </mc:Fallback>
    </mc:AlternateContent>
    <xdr:clientData/>
  </xdr:oneCellAnchor>
  <xdr:oneCellAnchor>
    <xdr:from>
      <xdr:col>4</xdr:col>
      <xdr:colOff>322943</xdr:colOff>
      <xdr:row>130</xdr:row>
      <xdr:rowOff>19956</xdr:rowOff>
    </xdr:from>
    <xdr:ext cx="2446683" cy="172227"/>
    <mc:AlternateContent xmlns:mc="http://schemas.openxmlformats.org/markup-compatibility/2006">
      <mc:Choice xmlns:a14="http://schemas.microsoft.com/office/drawing/2010/main" Requires="a14">
        <xdr:sp macro="" textlink="">
          <xdr:nvSpPr>
            <xdr:cNvPr id="13" name="TextBox 12">
              <a:extLst>
                <a:ext uri="{FF2B5EF4-FFF2-40B4-BE49-F238E27FC236}">
                  <a16:creationId xmlns:a16="http://schemas.microsoft.com/office/drawing/2014/main" id="{1D81E283-56AB-0A68-3B28-95656DD3C2EB}"/>
                </a:ext>
              </a:extLst>
            </xdr:cNvPr>
            <xdr:cNvSpPr txBox="1"/>
          </xdr:nvSpPr>
          <xdr:spPr>
            <a:xfrm>
              <a:off x="13548638374" y="26914927"/>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𝛽</m:t>
                        </m:r>
                      </m:e>
                      <m:sub>
                        <m:r>
                          <a:rPr lang="en-US" sz="1100" b="0" i="1">
                            <a:latin typeface="Cambria Math" panose="02040503050406030204" pitchFamily="18" charset="0"/>
                          </a:rPr>
                          <m:t>𝐸</m:t>
                        </m:r>
                      </m:sub>
                    </m:sSub>
                  </m:oMath>
                </m:oMathPara>
              </a14:m>
              <a:endParaRPr lang="en-US" sz="1100"/>
            </a:p>
          </xdr:txBody>
        </xdr:sp>
      </mc:Choice>
      <mc:Fallback>
        <xdr:sp macro="" textlink="">
          <xdr:nvSpPr>
            <xdr:cNvPr id="13" name="TextBox 12">
              <a:extLst>
                <a:ext uri="{FF2B5EF4-FFF2-40B4-BE49-F238E27FC236}">
                  <a16:creationId xmlns:a16="http://schemas.microsoft.com/office/drawing/2014/main" id="{1D81E283-56AB-0A68-3B28-95656DD3C2EB}"/>
                </a:ext>
              </a:extLst>
            </xdr:cNvPr>
            <xdr:cNvSpPr txBox="1"/>
          </xdr:nvSpPr>
          <xdr:spPr>
            <a:xfrm>
              <a:off x="13548638374" y="26914927"/>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]∗𝛽_𝐸</a:t>
              </a:r>
              <a:endParaRPr lang="en-US" sz="1100"/>
            </a:p>
          </xdr:txBody>
        </xdr:sp>
      </mc:Fallback>
    </mc:AlternateContent>
    <xdr:clientData/>
  </xdr:oneCellAnchor>
  <xdr:twoCellAnchor>
    <xdr:from>
      <xdr:col>1</xdr:col>
      <xdr:colOff>362857</xdr:colOff>
      <xdr:row>131</xdr:row>
      <xdr:rowOff>181429</xdr:rowOff>
    </xdr:from>
    <xdr:to>
      <xdr:col>1</xdr:col>
      <xdr:colOff>493486</xdr:colOff>
      <xdr:row>132</xdr:row>
      <xdr:rowOff>185058</xdr:rowOff>
    </xdr:to>
    <xdr:sp macro="" textlink="">
      <xdr:nvSpPr>
        <xdr:cNvPr id="14" name="Down Arrow 13">
          <a:extLst>
            <a:ext uri="{FF2B5EF4-FFF2-40B4-BE49-F238E27FC236}">
              <a16:creationId xmlns:a16="http://schemas.microsoft.com/office/drawing/2014/main" id="{9C02CF7F-E0C6-135F-31C5-FBF0014FD8BB}"/>
            </a:ext>
          </a:extLst>
        </xdr:cNvPr>
        <xdr:cNvSpPr/>
      </xdr:nvSpPr>
      <xdr:spPr>
        <a:xfrm>
          <a:off x="13553396457" y="27279600"/>
          <a:ext cx="130629" cy="2068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515257</xdr:colOff>
      <xdr:row>142</xdr:row>
      <xdr:rowOff>161472</xdr:rowOff>
    </xdr:from>
    <xdr:ext cx="1539540" cy="344582"/>
    <mc:AlternateContent xmlns:mc="http://schemas.openxmlformats.org/markup-compatibility/2006">
      <mc:Choice xmlns:a14="http://schemas.microsoft.com/office/drawing/2010/main" Requires="a14">
        <xdr:sp macro="" textlink="">
          <xdr:nvSpPr>
            <xdr:cNvPr id="15" name="TextBox 14">
              <a:extLst>
                <a:ext uri="{FF2B5EF4-FFF2-40B4-BE49-F238E27FC236}">
                  <a16:creationId xmlns:a16="http://schemas.microsoft.com/office/drawing/2014/main" id="{1F0825F5-F7AC-3742-B805-DCD9263C6338}"/>
                </a:ext>
              </a:extLst>
            </xdr:cNvPr>
            <xdr:cNvSpPr txBox="1"/>
          </xdr:nvSpPr>
          <xdr:spPr>
            <a:xfrm>
              <a:off x="13552662460" y="26650043"/>
              <a:ext cx="1539540"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dr:sp macro="" textlink="">
          <xdr:nvSpPr>
            <xdr:cNvPr id="15" name="TextBox 14">
              <a:extLst>
                <a:ext uri="{FF2B5EF4-FFF2-40B4-BE49-F238E27FC236}">
                  <a16:creationId xmlns:a16="http://schemas.microsoft.com/office/drawing/2014/main" id="{1F0825F5-F7AC-3742-B805-DCD9263C6338}"/>
                </a:ext>
              </a:extLst>
            </xdr:cNvPr>
            <xdr:cNvSpPr txBox="1"/>
          </xdr:nvSpPr>
          <xdr:spPr>
            <a:xfrm>
              <a:off x="13552662460" y="26650043"/>
              <a:ext cx="1539540"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𝑃_𝑆=𝐷𝑖𝑣/(𝑘_𝐸−𝑔)</a:t>
              </a:r>
              <a:endParaRPr lang="en-US" sz="1100"/>
            </a:p>
          </xdr:txBody>
        </xdr:sp>
      </mc:Fallback>
    </mc:AlternateContent>
    <xdr:clientData/>
  </xdr:oneCellAnchor>
  <xdr:oneCellAnchor>
    <xdr:from>
      <xdr:col>4</xdr:col>
      <xdr:colOff>322943</xdr:colOff>
      <xdr:row>144</xdr:row>
      <xdr:rowOff>19956</xdr:rowOff>
    </xdr:from>
    <xdr:ext cx="2446683" cy="172227"/>
    <mc:AlternateContent xmlns:mc="http://schemas.openxmlformats.org/markup-compatibility/2006">
      <mc:Choice xmlns:a14="http://schemas.microsoft.com/office/drawing/2010/main" Requires="a14">
        <xdr:sp macro="" textlink="">
          <xdr:nvSpPr>
            <xdr:cNvPr id="16" name="TextBox 15">
              <a:extLst>
                <a:ext uri="{FF2B5EF4-FFF2-40B4-BE49-F238E27FC236}">
                  <a16:creationId xmlns:a16="http://schemas.microsoft.com/office/drawing/2014/main" id="{11014D9F-98C3-214B-9C39-7C535B7EF46A}"/>
                </a:ext>
              </a:extLst>
            </xdr:cNvPr>
            <xdr:cNvSpPr txBox="1"/>
          </xdr:nvSpPr>
          <xdr:spPr>
            <a:xfrm>
              <a:off x="13548638374" y="26711727"/>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𝛽</m:t>
                        </m:r>
                      </m:e>
                      <m:sub>
                        <m:r>
                          <a:rPr lang="en-US" sz="1100" b="0" i="1">
                            <a:latin typeface="Cambria Math" panose="02040503050406030204" pitchFamily="18" charset="0"/>
                          </a:rPr>
                          <m:t>𝐸</m:t>
                        </m:r>
                      </m:sub>
                    </m:sSub>
                  </m:oMath>
                </m:oMathPara>
              </a14:m>
              <a:endParaRPr lang="en-US" sz="1100"/>
            </a:p>
          </xdr:txBody>
        </xdr:sp>
      </mc:Choice>
      <mc:Fallback>
        <xdr:sp macro="" textlink="">
          <xdr:nvSpPr>
            <xdr:cNvPr id="16" name="TextBox 15">
              <a:extLst>
                <a:ext uri="{FF2B5EF4-FFF2-40B4-BE49-F238E27FC236}">
                  <a16:creationId xmlns:a16="http://schemas.microsoft.com/office/drawing/2014/main" id="{11014D9F-98C3-214B-9C39-7C535B7EF46A}"/>
                </a:ext>
              </a:extLst>
            </xdr:cNvPr>
            <xdr:cNvSpPr txBox="1"/>
          </xdr:nvSpPr>
          <xdr:spPr>
            <a:xfrm>
              <a:off x="13548638374" y="26711727"/>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]∗𝛽_𝐸</a:t>
              </a:r>
              <a:endParaRPr lang="en-US" sz="1100"/>
            </a:p>
          </xdr:txBody>
        </xdr:sp>
      </mc:Fallback>
    </mc:AlternateContent>
    <xdr:clientData/>
  </xdr:oneCellAnchor>
  <xdr:twoCellAnchor>
    <xdr:from>
      <xdr:col>6</xdr:col>
      <xdr:colOff>605971</xdr:colOff>
      <xdr:row>145</xdr:row>
      <xdr:rowOff>32657</xdr:rowOff>
    </xdr:from>
    <xdr:to>
      <xdr:col>6</xdr:col>
      <xdr:colOff>736600</xdr:colOff>
      <xdr:row>146</xdr:row>
      <xdr:rowOff>36286</xdr:rowOff>
    </xdr:to>
    <xdr:sp macro="" textlink="">
      <xdr:nvSpPr>
        <xdr:cNvPr id="17" name="Down Arrow 16">
          <a:extLst>
            <a:ext uri="{FF2B5EF4-FFF2-40B4-BE49-F238E27FC236}">
              <a16:creationId xmlns:a16="http://schemas.microsoft.com/office/drawing/2014/main" id="{1F0F811A-E1A4-E74A-9730-6B7477F887AE}"/>
            </a:ext>
          </a:extLst>
        </xdr:cNvPr>
        <xdr:cNvSpPr/>
      </xdr:nvSpPr>
      <xdr:spPr>
        <a:xfrm>
          <a:off x="13549016771" y="29598257"/>
          <a:ext cx="130629" cy="2068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283027</xdr:colOff>
      <xdr:row>145</xdr:row>
      <xdr:rowOff>18142</xdr:rowOff>
    </xdr:from>
    <xdr:to>
      <xdr:col>6</xdr:col>
      <xdr:colOff>413657</xdr:colOff>
      <xdr:row>148</xdr:row>
      <xdr:rowOff>0</xdr:rowOff>
    </xdr:to>
    <xdr:sp macro="" textlink="">
      <xdr:nvSpPr>
        <xdr:cNvPr id="18" name="Down Arrow 17">
          <a:extLst>
            <a:ext uri="{FF2B5EF4-FFF2-40B4-BE49-F238E27FC236}">
              <a16:creationId xmlns:a16="http://schemas.microsoft.com/office/drawing/2014/main" id="{6813F6E8-C80D-508A-5932-3FC3978E900B}"/>
            </a:ext>
          </a:extLst>
        </xdr:cNvPr>
        <xdr:cNvSpPr/>
      </xdr:nvSpPr>
      <xdr:spPr>
        <a:xfrm>
          <a:off x="13549339714" y="29583742"/>
          <a:ext cx="130630" cy="59145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613229</xdr:colOff>
      <xdr:row>145</xdr:row>
      <xdr:rowOff>36285</xdr:rowOff>
    </xdr:from>
    <xdr:to>
      <xdr:col>5</xdr:col>
      <xdr:colOff>747487</xdr:colOff>
      <xdr:row>149</xdr:row>
      <xdr:rowOff>97971</xdr:rowOff>
    </xdr:to>
    <xdr:sp macro="" textlink="">
      <xdr:nvSpPr>
        <xdr:cNvPr id="19" name="Down Arrow 18">
          <a:extLst>
            <a:ext uri="{FF2B5EF4-FFF2-40B4-BE49-F238E27FC236}">
              <a16:creationId xmlns:a16="http://schemas.microsoft.com/office/drawing/2014/main" id="{C0938238-0343-3493-25D2-61FCF6F135CB}"/>
            </a:ext>
          </a:extLst>
        </xdr:cNvPr>
        <xdr:cNvSpPr/>
      </xdr:nvSpPr>
      <xdr:spPr>
        <a:xfrm>
          <a:off x="13549833199" y="29601885"/>
          <a:ext cx="134258" cy="87448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718457</xdr:colOff>
      <xdr:row>145</xdr:row>
      <xdr:rowOff>29027</xdr:rowOff>
    </xdr:from>
    <xdr:to>
      <xdr:col>5</xdr:col>
      <xdr:colOff>10887</xdr:colOff>
      <xdr:row>151</xdr:row>
      <xdr:rowOff>159656</xdr:rowOff>
    </xdr:to>
    <xdr:sp macro="" textlink="">
      <xdr:nvSpPr>
        <xdr:cNvPr id="20" name="Down Arrow 19">
          <a:extLst>
            <a:ext uri="{FF2B5EF4-FFF2-40B4-BE49-F238E27FC236}">
              <a16:creationId xmlns:a16="http://schemas.microsoft.com/office/drawing/2014/main" id="{A6EB0CBE-F0A5-53FA-BE5D-DA057047015C}"/>
            </a:ext>
          </a:extLst>
        </xdr:cNvPr>
        <xdr:cNvSpPr/>
      </xdr:nvSpPr>
      <xdr:spPr>
        <a:xfrm>
          <a:off x="13550569799" y="29594627"/>
          <a:ext cx="119744" cy="13498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156029</xdr:colOff>
      <xdr:row>143</xdr:row>
      <xdr:rowOff>90714</xdr:rowOff>
    </xdr:from>
    <xdr:to>
      <xdr:col>6</xdr:col>
      <xdr:colOff>90714</xdr:colOff>
      <xdr:row>144</xdr:row>
      <xdr:rowOff>79832</xdr:rowOff>
    </xdr:to>
    <xdr:sp macro="" textlink="">
      <xdr:nvSpPr>
        <xdr:cNvPr id="21" name="Left Brace 20">
          <a:extLst>
            <a:ext uri="{FF2B5EF4-FFF2-40B4-BE49-F238E27FC236}">
              <a16:creationId xmlns:a16="http://schemas.microsoft.com/office/drawing/2014/main" id="{0C006AB8-D2CF-851B-70E1-FC92CF56B3FF}"/>
            </a:ext>
          </a:extLst>
        </xdr:cNvPr>
        <xdr:cNvSpPr/>
      </xdr:nvSpPr>
      <xdr:spPr>
        <a:xfrm rot="5400000">
          <a:off x="13549947498" y="29168273"/>
          <a:ext cx="192318" cy="762000"/>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87086</xdr:colOff>
      <xdr:row>164</xdr:row>
      <xdr:rowOff>68943</xdr:rowOff>
    </xdr:from>
    <xdr:ext cx="2446683" cy="172227"/>
    <mc:AlternateContent xmlns:mc="http://schemas.openxmlformats.org/markup-compatibility/2006">
      <mc:Choice xmlns:a14="http://schemas.microsoft.com/office/drawing/2010/main" Requires="a14">
        <xdr:sp macro="" textlink="">
          <xdr:nvSpPr>
            <xdr:cNvPr id="22" name="TextBox 21">
              <a:extLst>
                <a:ext uri="{FF2B5EF4-FFF2-40B4-BE49-F238E27FC236}">
                  <a16:creationId xmlns:a16="http://schemas.microsoft.com/office/drawing/2014/main" id="{45669786-DE5F-B44A-A68D-5F0C2FC06459}"/>
                </a:ext>
              </a:extLst>
            </xdr:cNvPr>
            <xdr:cNvSpPr txBox="1"/>
          </xdr:nvSpPr>
          <xdr:spPr>
            <a:xfrm>
              <a:off x="13550528859" y="33727572"/>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𝛽</m:t>
                        </m:r>
                      </m:e>
                      <m:sub>
                        <m:r>
                          <a:rPr lang="en-US" sz="1100" b="0" i="1">
                            <a:latin typeface="Cambria Math" panose="02040503050406030204" pitchFamily="18" charset="0"/>
                          </a:rPr>
                          <m:t>𝐸</m:t>
                        </m:r>
                      </m:sub>
                    </m:sSub>
                  </m:oMath>
                </m:oMathPara>
              </a14:m>
              <a:endParaRPr lang="en-US" sz="1100"/>
            </a:p>
          </xdr:txBody>
        </xdr:sp>
      </mc:Choice>
      <mc:Fallback>
        <xdr:sp macro="" textlink="">
          <xdr:nvSpPr>
            <xdr:cNvPr id="22" name="TextBox 21">
              <a:extLst>
                <a:ext uri="{FF2B5EF4-FFF2-40B4-BE49-F238E27FC236}">
                  <a16:creationId xmlns:a16="http://schemas.microsoft.com/office/drawing/2014/main" id="{45669786-DE5F-B44A-A68D-5F0C2FC06459}"/>
                </a:ext>
              </a:extLst>
            </xdr:cNvPr>
            <xdr:cNvSpPr txBox="1"/>
          </xdr:nvSpPr>
          <xdr:spPr>
            <a:xfrm>
              <a:off x="13550528859" y="33727572"/>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]∗𝛽_𝐸</a:t>
              </a:r>
              <a:endParaRPr lang="en-US" sz="1100"/>
            </a:p>
          </xdr:txBody>
        </xdr:sp>
      </mc:Fallback>
    </mc:AlternateContent>
    <xdr:clientData/>
  </xdr:oneCellAnchor>
  <xdr:oneCellAnchor>
    <xdr:from>
      <xdr:col>3</xdr:col>
      <xdr:colOff>105229</xdr:colOff>
      <xdr:row>175</xdr:row>
      <xdr:rowOff>127001</xdr:rowOff>
    </xdr:from>
    <xdr:ext cx="2446683" cy="172227"/>
    <mc:AlternateContent xmlns:mc="http://schemas.openxmlformats.org/markup-compatibility/2006">
      <mc:Choice xmlns:a14="http://schemas.microsoft.com/office/drawing/2010/main" Requires="a14">
        <xdr:sp macro="" textlink="">
          <xdr:nvSpPr>
            <xdr:cNvPr id="23" name="TextBox 22">
              <a:extLst>
                <a:ext uri="{FF2B5EF4-FFF2-40B4-BE49-F238E27FC236}">
                  <a16:creationId xmlns:a16="http://schemas.microsoft.com/office/drawing/2014/main" id="{8E10C3DE-5EA3-4073-6112-BA9696B1DE2C}"/>
                </a:ext>
              </a:extLst>
            </xdr:cNvPr>
            <xdr:cNvSpPr txBox="1"/>
          </xdr:nvSpPr>
          <xdr:spPr>
            <a:xfrm>
              <a:off x="13549683402" y="36049858"/>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𝛽</m:t>
                        </m:r>
                      </m:e>
                      <m:sub>
                        <m:r>
                          <a:rPr lang="en-US" sz="1100" b="0" i="1">
                            <a:latin typeface="Cambria Math" panose="02040503050406030204" pitchFamily="18" charset="0"/>
                          </a:rPr>
                          <m:t>𝐸</m:t>
                        </m:r>
                      </m:sub>
                    </m:sSub>
                  </m:oMath>
                </m:oMathPara>
              </a14:m>
              <a:endParaRPr lang="en-US" sz="1100"/>
            </a:p>
          </xdr:txBody>
        </xdr:sp>
      </mc:Choice>
      <mc:Fallback>
        <xdr:sp macro="" textlink="">
          <xdr:nvSpPr>
            <xdr:cNvPr id="23" name="TextBox 22">
              <a:extLst>
                <a:ext uri="{FF2B5EF4-FFF2-40B4-BE49-F238E27FC236}">
                  <a16:creationId xmlns:a16="http://schemas.microsoft.com/office/drawing/2014/main" id="{8E10C3DE-5EA3-4073-6112-BA9696B1DE2C}"/>
                </a:ext>
              </a:extLst>
            </xdr:cNvPr>
            <xdr:cNvSpPr txBox="1"/>
          </xdr:nvSpPr>
          <xdr:spPr>
            <a:xfrm>
              <a:off x="13549683402" y="36049858"/>
              <a:ext cx="24466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]∗𝛽_𝐸</a:t>
              </a:r>
              <a:endParaRPr lang="en-US" sz="1100"/>
            </a:p>
          </xdr:txBody>
        </xdr:sp>
      </mc:Fallback>
    </mc:AlternateContent>
    <xdr:clientData/>
  </xdr:oneCellAnchor>
  <xdr:twoCellAnchor>
    <xdr:from>
      <xdr:col>3</xdr:col>
      <xdr:colOff>584200</xdr:colOff>
      <xdr:row>176</xdr:row>
      <xdr:rowOff>130629</xdr:rowOff>
    </xdr:from>
    <xdr:to>
      <xdr:col>3</xdr:col>
      <xdr:colOff>584200</xdr:colOff>
      <xdr:row>178</xdr:row>
      <xdr:rowOff>36286</xdr:rowOff>
    </xdr:to>
    <xdr:cxnSp macro="">
      <xdr:nvCxnSpPr>
        <xdr:cNvPr id="25" name="Straight Arrow Connector 24">
          <a:extLst>
            <a:ext uri="{FF2B5EF4-FFF2-40B4-BE49-F238E27FC236}">
              <a16:creationId xmlns:a16="http://schemas.microsoft.com/office/drawing/2014/main" id="{A150B3F5-ED4C-3A8E-4D28-4AE1A67FB6DE}"/>
            </a:ext>
          </a:extLst>
        </xdr:cNvPr>
        <xdr:cNvCxnSpPr/>
      </xdr:nvCxnSpPr>
      <xdr:spPr>
        <a:xfrm>
          <a:off x="13551651114" y="36256686"/>
          <a:ext cx="0" cy="3120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486228</xdr:colOff>
      <xdr:row>177</xdr:row>
      <xdr:rowOff>43543</xdr:rowOff>
    </xdr:from>
    <xdr:to>
      <xdr:col>4</xdr:col>
      <xdr:colOff>823685</xdr:colOff>
      <xdr:row>178</xdr:row>
      <xdr:rowOff>177800</xdr:rowOff>
    </xdr:to>
    <xdr:cxnSp macro="">
      <xdr:nvCxnSpPr>
        <xdr:cNvPr id="26" name="Straight Arrow Connector 25">
          <a:extLst>
            <a:ext uri="{FF2B5EF4-FFF2-40B4-BE49-F238E27FC236}">
              <a16:creationId xmlns:a16="http://schemas.microsoft.com/office/drawing/2014/main" id="{1E93B4EC-0472-0C2C-22C8-05CB808F42E0}"/>
            </a:ext>
          </a:extLst>
        </xdr:cNvPr>
        <xdr:cNvCxnSpPr/>
      </xdr:nvCxnSpPr>
      <xdr:spPr>
        <a:xfrm flipH="1">
          <a:off x="13550584315" y="36372800"/>
          <a:ext cx="337457" cy="337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754743</xdr:colOff>
      <xdr:row>176</xdr:row>
      <xdr:rowOff>78016</xdr:rowOff>
    </xdr:from>
    <xdr:to>
      <xdr:col>5</xdr:col>
      <xdr:colOff>219529</xdr:colOff>
      <xdr:row>177</xdr:row>
      <xdr:rowOff>50803</xdr:rowOff>
    </xdr:to>
    <xdr:sp macro="" textlink="">
      <xdr:nvSpPr>
        <xdr:cNvPr id="27" name="Right Brace 26">
          <a:extLst>
            <a:ext uri="{FF2B5EF4-FFF2-40B4-BE49-F238E27FC236}">
              <a16:creationId xmlns:a16="http://schemas.microsoft.com/office/drawing/2014/main" id="{86B8705D-4B4D-9DB8-BF42-59942E2015EE}"/>
            </a:ext>
          </a:extLst>
        </xdr:cNvPr>
        <xdr:cNvSpPr/>
      </xdr:nvSpPr>
      <xdr:spPr>
        <a:xfrm rot="5400000">
          <a:off x="13550832870" y="35732360"/>
          <a:ext cx="175987" cy="1119414"/>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598714</xdr:colOff>
      <xdr:row>176</xdr:row>
      <xdr:rowOff>50800</xdr:rowOff>
    </xdr:from>
    <xdr:to>
      <xdr:col>6</xdr:col>
      <xdr:colOff>235857</xdr:colOff>
      <xdr:row>176</xdr:row>
      <xdr:rowOff>199572</xdr:rowOff>
    </xdr:to>
    <xdr:cxnSp macro="">
      <xdr:nvCxnSpPr>
        <xdr:cNvPr id="29" name="Straight Arrow Connector 28">
          <a:extLst>
            <a:ext uri="{FF2B5EF4-FFF2-40B4-BE49-F238E27FC236}">
              <a16:creationId xmlns:a16="http://schemas.microsoft.com/office/drawing/2014/main" id="{D029CFB3-EA80-3850-FDC5-BDB554EDF8FC}"/>
            </a:ext>
          </a:extLst>
        </xdr:cNvPr>
        <xdr:cNvCxnSpPr/>
      </xdr:nvCxnSpPr>
      <xdr:spPr>
        <a:xfrm flipH="1">
          <a:off x="13549517514" y="36176857"/>
          <a:ext cx="464458" cy="1487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729343</xdr:colOff>
      <xdr:row>180</xdr:row>
      <xdr:rowOff>32658</xdr:rowOff>
    </xdr:from>
    <xdr:to>
      <xdr:col>0</xdr:col>
      <xdr:colOff>729343</xdr:colOff>
      <xdr:row>181</xdr:row>
      <xdr:rowOff>141515</xdr:rowOff>
    </xdr:to>
    <xdr:cxnSp macro="">
      <xdr:nvCxnSpPr>
        <xdr:cNvPr id="31" name="Straight Arrow Connector 30">
          <a:extLst>
            <a:ext uri="{FF2B5EF4-FFF2-40B4-BE49-F238E27FC236}">
              <a16:creationId xmlns:a16="http://schemas.microsoft.com/office/drawing/2014/main" id="{FDB1F808-7ABE-5D78-C6EE-92681230D7F4}"/>
            </a:ext>
          </a:extLst>
        </xdr:cNvPr>
        <xdr:cNvCxnSpPr/>
      </xdr:nvCxnSpPr>
      <xdr:spPr>
        <a:xfrm>
          <a:off x="13553987914" y="36971515"/>
          <a:ext cx="0" cy="3120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439193</xdr:colOff>
      <xdr:row>224</xdr:row>
      <xdr:rowOff>10980</xdr:rowOff>
    </xdr:from>
    <xdr:to>
      <xdr:col>2</xdr:col>
      <xdr:colOff>581931</xdr:colOff>
      <xdr:row>224</xdr:row>
      <xdr:rowOff>172017</xdr:rowOff>
    </xdr:to>
    <xdr:sp macro="" textlink="">
      <xdr:nvSpPr>
        <xdr:cNvPr id="32" name="Down Arrow 31">
          <a:extLst>
            <a:ext uri="{FF2B5EF4-FFF2-40B4-BE49-F238E27FC236}">
              <a16:creationId xmlns:a16="http://schemas.microsoft.com/office/drawing/2014/main" id="{16C1EBF9-033B-853E-2F07-83F5F47720DE}"/>
            </a:ext>
          </a:extLst>
        </xdr:cNvPr>
        <xdr:cNvSpPr/>
      </xdr:nvSpPr>
      <xdr:spPr>
        <a:xfrm>
          <a:off x="13549739798" y="46305591"/>
          <a:ext cx="142738" cy="16103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603890</xdr:colOff>
      <xdr:row>236</xdr:row>
      <xdr:rowOff>128098</xdr:rowOff>
    </xdr:from>
    <xdr:to>
      <xdr:col>5</xdr:col>
      <xdr:colOff>731988</xdr:colOff>
      <xdr:row>236</xdr:row>
      <xdr:rowOff>142738</xdr:rowOff>
    </xdr:to>
    <xdr:cxnSp macro="">
      <xdr:nvCxnSpPr>
        <xdr:cNvPr id="34" name="Straight Arrow Connector 33">
          <a:extLst>
            <a:ext uri="{FF2B5EF4-FFF2-40B4-BE49-F238E27FC236}">
              <a16:creationId xmlns:a16="http://schemas.microsoft.com/office/drawing/2014/main" id="{B847D012-D317-3E00-8792-4E81BF973181}"/>
            </a:ext>
          </a:extLst>
        </xdr:cNvPr>
        <xdr:cNvCxnSpPr/>
      </xdr:nvCxnSpPr>
      <xdr:spPr>
        <a:xfrm>
          <a:off x="13547108300" y="48904150"/>
          <a:ext cx="3436686" cy="14640"/>
        </a:xfrm>
        <a:prstGeom prst="straightConnector1">
          <a:avLst/>
        </a:prstGeom>
        <a:ln>
          <a:headEnd type="triangle"/>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629510</xdr:colOff>
      <xdr:row>190</xdr:row>
      <xdr:rowOff>21959</xdr:rowOff>
    </xdr:from>
    <xdr:ext cx="2828464" cy="316882"/>
    <mc:AlternateContent xmlns:mc="http://schemas.openxmlformats.org/markup-compatibility/2006">
      <mc:Choice xmlns:a14="http://schemas.microsoft.com/office/drawing/2010/main" Requires="a14">
        <xdr:sp macro="" textlink="">
          <xdr:nvSpPr>
            <xdr:cNvPr id="36" name="TextBox 35">
              <a:extLst>
                <a:ext uri="{FF2B5EF4-FFF2-40B4-BE49-F238E27FC236}">
                  <a16:creationId xmlns:a16="http://schemas.microsoft.com/office/drawing/2014/main" id="{7C8A4A41-6BFA-974E-814B-AD4F62658DB8}"/>
                </a:ext>
              </a:extLst>
            </xdr:cNvPr>
            <xdr:cNvSpPr txBox="1"/>
          </xdr:nvSpPr>
          <xdr:spPr>
            <a:xfrm>
              <a:off x="13545209461" y="3932608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dr:sp macro="" textlink="">
          <xdr:nvSpPr>
            <xdr:cNvPr id="36" name="TextBox 35">
              <a:extLst>
                <a:ext uri="{FF2B5EF4-FFF2-40B4-BE49-F238E27FC236}">
                  <a16:creationId xmlns:a16="http://schemas.microsoft.com/office/drawing/2014/main" id="{7C8A4A41-6BFA-974E-814B-AD4F62658DB8}"/>
                </a:ext>
              </a:extLst>
            </xdr:cNvPr>
            <xdr:cNvSpPr txBox="1"/>
          </xdr:nvSpPr>
          <xdr:spPr>
            <a:xfrm>
              <a:off x="13545209461" y="3932608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wsDr>
</file>

<file path=xl/drawings/drawing12.xml><?xml version="1.0" encoding="utf-8"?>
<xdr:wsDr xmlns:xdr="http://schemas.openxmlformats.org/drawingml/2006/spreadsheetDrawing" xmlns:a="http://schemas.openxmlformats.org/drawingml/2006/main">
  <xdr:twoCellAnchor>
    <xdr:from>
      <xdr:col>0</xdr:col>
      <xdr:colOff>621489</xdr:colOff>
      <xdr:row>117</xdr:row>
      <xdr:rowOff>199958</xdr:rowOff>
    </xdr:from>
    <xdr:to>
      <xdr:col>7</xdr:col>
      <xdr:colOff>686340</xdr:colOff>
      <xdr:row>118</xdr:row>
      <xdr:rowOff>27021</xdr:rowOff>
    </xdr:to>
    <xdr:cxnSp macro="">
      <xdr:nvCxnSpPr>
        <xdr:cNvPr id="3" name="Straight Arrow Connector 2">
          <a:extLst>
            <a:ext uri="{FF2B5EF4-FFF2-40B4-BE49-F238E27FC236}">
              <a16:creationId xmlns:a16="http://schemas.microsoft.com/office/drawing/2014/main" id="{FCAAB133-4677-9CE6-1FFE-E8763C3FCBC8}"/>
            </a:ext>
          </a:extLst>
        </xdr:cNvPr>
        <xdr:cNvCxnSpPr/>
      </xdr:nvCxnSpPr>
      <xdr:spPr>
        <a:xfrm>
          <a:off x="13717664511" y="23427447"/>
          <a:ext cx="5928468" cy="3242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216171</xdr:colOff>
      <xdr:row>117</xdr:row>
      <xdr:rowOff>18375</xdr:rowOff>
    </xdr:from>
    <xdr:ext cx="1920115" cy="172227"/>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A9FDDE5E-B43B-BB89-7ABC-84AF7C10163E}"/>
                </a:ext>
              </a:extLst>
            </xdr:cNvPr>
            <xdr:cNvSpPr txBox="1"/>
          </xdr:nvSpPr>
          <xdr:spPr>
            <a:xfrm>
              <a:off x="13718727544" y="23245864"/>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1.2.2022</m:t>
                    </m:r>
                  </m:oMath>
                </m:oMathPara>
              </a14:m>
              <a:endParaRPr lang="en-US" sz="1100"/>
            </a:p>
          </xdr:txBody>
        </xdr:sp>
      </mc:Choice>
      <mc:Fallback xmlns="">
        <xdr:sp macro="" textlink="">
          <xdr:nvSpPr>
            <xdr:cNvPr id="4" name="TextBox 3">
              <a:extLst>
                <a:ext uri="{FF2B5EF4-FFF2-40B4-BE49-F238E27FC236}">
                  <a16:creationId xmlns:a16="http://schemas.microsoft.com/office/drawing/2014/main" id="{A9FDDE5E-B43B-BB89-7ABC-84AF7C10163E}"/>
                </a:ext>
              </a:extLst>
            </xdr:cNvPr>
            <xdr:cNvSpPr txBox="1"/>
          </xdr:nvSpPr>
          <xdr:spPr>
            <a:xfrm>
              <a:off x="13718727544" y="23245864"/>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1.2.2022</a:t>
              </a:r>
              <a:endParaRPr lang="en-US" sz="1100"/>
            </a:p>
          </xdr:txBody>
        </xdr:sp>
      </mc:Fallback>
    </mc:AlternateContent>
    <xdr:clientData/>
  </xdr:oneCellAnchor>
  <xdr:oneCellAnchor>
    <xdr:from>
      <xdr:col>2</xdr:col>
      <xdr:colOff>659319</xdr:colOff>
      <xdr:row>117</xdr:row>
      <xdr:rowOff>7567</xdr:rowOff>
    </xdr:from>
    <xdr:ext cx="1920115"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8B302BE4-455F-480F-E98B-C14739A3B53E}"/>
                </a:ext>
              </a:extLst>
            </xdr:cNvPr>
            <xdr:cNvSpPr txBox="1"/>
          </xdr:nvSpPr>
          <xdr:spPr>
            <a:xfrm>
              <a:off x="13719959715" y="23235056"/>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31.3.2022</m:t>
                    </m:r>
                  </m:oMath>
                </m:oMathPara>
              </a14:m>
              <a:endParaRPr lang="en-US" sz="1100"/>
            </a:p>
          </xdr:txBody>
        </xdr:sp>
      </mc:Choice>
      <mc:Fallback xmlns="">
        <xdr:sp macro="" textlink="">
          <xdr:nvSpPr>
            <xdr:cNvPr id="6" name="TextBox 5">
              <a:extLst>
                <a:ext uri="{FF2B5EF4-FFF2-40B4-BE49-F238E27FC236}">
                  <a16:creationId xmlns:a16="http://schemas.microsoft.com/office/drawing/2014/main" id="{8B302BE4-455F-480F-E98B-C14739A3B53E}"/>
                </a:ext>
              </a:extLst>
            </xdr:cNvPr>
            <xdr:cNvSpPr txBox="1"/>
          </xdr:nvSpPr>
          <xdr:spPr>
            <a:xfrm>
              <a:off x="13719959715" y="23235056"/>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31.3.2022</a:t>
              </a:r>
              <a:endParaRPr lang="en-US" sz="1100"/>
            </a:p>
          </xdr:txBody>
        </xdr:sp>
      </mc:Fallback>
    </mc:AlternateContent>
    <xdr:clientData/>
  </xdr:oneCellAnchor>
  <xdr:oneCellAnchor>
    <xdr:from>
      <xdr:col>1</xdr:col>
      <xdr:colOff>383701</xdr:colOff>
      <xdr:row>117</xdr:row>
      <xdr:rowOff>12971</xdr:rowOff>
    </xdr:from>
    <xdr:ext cx="1920115"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1F255122-37D7-E532-3123-4282AD1B23CD}"/>
                </a:ext>
              </a:extLst>
            </xdr:cNvPr>
            <xdr:cNvSpPr txBox="1"/>
          </xdr:nvSpPr>
          <xdr:spPr>
            <a:xfrm>
              <a:off x="13721072992"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30.6.2022</m:t>
                    </m:r>
                  </m:oMath>
                </m:oMathPara>
              </a14:m>
              <a:endParaRPr lang="en-US" sz="1100"/>
            </a:p>
          </xdr:txBody>
        </xdr:sp>
      </mc:Choice>
      <mc:Fallback xmlns="">
        <xdr:sp macro="" textlink="">
          <xdr:nvSpPr>
            <xdr:cNvPr id="7" name="TextBox 6">
              <a:extLst>
                <a:ext uri="{FF2B5EF4-FFF2-40B4-BE49-F238E27FC236}">
                  <a16:creationId xmlns:a16="http://schemas.microsoft.com/office/drawing/2014/main" id="{1F255122-37D7-E532-3123-4282AD1B23CD}"/>
                </a:ext>
              </a:extLst>
            </xdr:cNvPr>
            <xdr:cNvSpPr txBox="1"/>
          </xdr:nvSpPr>
          <xdr:spPr>
            <a:xfrm>
              <a:off x="13721072992"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30.6.2022</a:t>
              </a:r>
              <a:endParaRPr lang="en-US" sz="1100"/>
            </a:p>
          </xdr:txBody>
        </xdr:sp>
      </mc:Fallback>
    </mc:AlternateContent>
    <xdr:clientData/>
  </xdr:oneCellAnchor>
  <xdr:oneCellAnchor>
    <xdr:from>
      <xdr:col>0</xdr:col>
      <xdr:colOff>178340</xdr:colOff>
      <xdr:row>117</xdr:row>
      <xdr:rowOff>2162</xdr:rowOff>
    </xdr:from>
    <xdr:ext cx="1920115"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DFB40F32-0B94-1013-A563-2B5B8E44318A}"/>
                </a:ext>
              </a:extLst>
            </xdr:cNvPr>
            <xdr:cNvSpPr txBox="1"/>
          </xdr:nvSpPr>
          <xdr:spPr>
            <a:xfrm>
              <a:off x="13722116013" y="23229651"/>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8" name="TextBox 7">
              <a:extLst>
                <a:ext uri="{FF2B5EF4-FFF2-40B4-BE49-F238E27FC236}">
                  <a16:creationId xmlns:a16="http://schemas.microsoft.com/office/drawing/2014/main" id="{DFB40F32-0B94-1013-A563-2B5B8E44318A}"/>
                </a:ext>
              </a:extLst>
            </xdr:cNvPr>
            <xdr:cNvSpPr txBox="1"/>
          </xdr:nvSpPr>
          <xdr:spPr>
            <a:xfrm>
              <a:off x="13722116013" y="23229651"/>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twoCellAnchor>
    <xdr:from>
      <xdr:col>3</xdr:col>
      <xdr:colOff>789020</xdr:colOff>
      <xdr:row>120</xdr:row>
      <xdr:rowOff>16213</xdr:rowOff>
    </xdr:from>
    <xdr:to>
      <xdr:col>3</xdr:col>
      <xdr:colOff>794425</xdr:colOff>
      <xdr:row>122</xdr:row>
      <xdr:rowOff>64851</xdr:rowOff>
    </xdr:to>
    <xdr:cxnSp macro="">
      <xdr:nvCxnSpPr>
        <xdr:cNvPr id="11" name="Straight Connector 10">
          <a:extLst>
            <a:ext uri="{FF2B5EF4-FFF2-40B4-BE49-F238E27FC236}">
              <a16:creationId xmlns:a16="http://schemas.microsoft.com/office/drawing/2014/main" id="{06653A00-2359-AFA3-C6A5-A063C640773E}"/>
            </a:ext>
          </a:extLst>
        </xdr:cNvPr>
        <xdr:cNvCxnSpPr/>
      </xdr:nvCxnSpPr>
      <xdr:spPr>
        <a:xfrm>
          <a:off x="13720907064" y="24681234"/>
          <a:ext cx="5405" cy="459362"/>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372894</xdr:colOff>
      <xdr:row>118</xdr:row>
      <xdr:rowOff>27021</xdr:rowOff>
    </xdr:from>
    <xdr:to>
      <xdr:col>6</xdr:col>
      <xdr:colOff>383703</xdr:colOff>
      <xdr:row>122</xdr:row>
      <xdr:rowOff>43234</xdr:rowOff>
    </xdr:to>
    <xdr:cxnSp macro="">
      <xdr:nvCxnSpPr>
        <xdr:cNvPr id="12" name="Straight Connector 11">
          <a:extLst>
            <a:ext uri="{FF2B5EF4-FFF2-40B4-BE49-F238E27FC236}">
              <a16:creationId xmlns:a16="http://schemas.microsoft.com/office/drawing/2014/main" id="{9A433AAE-AA1D-E55D-C3F4-047E01C9BB0C}"/>
            </a:ext>
          </a:extLst>
        </xdr:cNvPr>
        <xdr:cNvCxnSpPr/>
      </xdr:nvCxnSpPr>
      <xdr:spPr>
        <a:xfrm>
          <a:off x="13718804808" y="23459872"/>
          <a:ext cx="10809" cy="83766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778212</xdr:colOff>
      <xdr:row>122</xdr:row>
      <xdr:rowOff>48638</xdr:rowOff>
    </xdr:from>
    <xdr:to>
      <xdr:col>6</xdr:col>
      <xdr:colOff>378298</xdr:colOff>
      <xdr:row>122</xdr:row>
      <xdr:rowOff>59447</xdr:rowOff>
    </xdr:to>
    <xdr:cxnSp macro="">
      <xdr:nvCxnSpPr>
        <xdr:cNvPr id="13" name="Straight Connector 12">
          <a:extLst>
            <a:ext uri="{FF2B5EF4-FFF2-40B4-BE49-F238E27FC236}">
              <a16:creationId xmlns:a16="http://schemas.microsoft.com/office/drawing/2014/main" id="{12D4025B-7879-EC2D-ADF3-EE0FCE57E639}"/>
            </a:ext>
          </a:extLst>
        </xdr:cNvPr>
        <xdr:cNvCxnSpPr/>
      </xdr:nvCxnSpPr>
      <xdr:spPr>
        <a:xfrm flipH="1" flipV="1">
          <a:off x="13718810213" y="24302936"/>
          <a:ext cx="2113064" cy="1080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340469</xdr:colOff>
      <xdr:row>117</xdr:row>
      <xdr:rowOff>12971</xdr:rowOff>
    </xdr:from>
    <xdr:ext cx="1920115"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6A3D88D1-244A-9F9D-1F8E-D81A4EE97571}"/>
                </a:ext>
              </a:extLst>
            </xdr:cNvPr>
            <xdr:cNvSpPr txBox="1"/>
          </xdr:nvSpPr>
          <xdr:spPr>
            <a:xfrm>
              <a:off x="13717765586"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31.12.2021</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6A3D88D1-244A-9F9D-1F8E-D81A4EE97571}"/>
                </a:ext>
              </a:extLst>
            </xdr:cNvPr>
            <xdr:cNvSpPr txBox="1"/>
          </xdr:nvSpPr>
          <xdr:spPr>
            <a:xfrm>
              <a:off x="13717765586" y="23240460"/>
              <a:ext cx="19201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31.12.2021</a:t>
              </a:r>
              <a:endParaRPr lang="en-US" sz="1100"/>
            </a:p>
          </xdr:txBody>
        </xdr:sp>
      </mc:Fallback>
    </mc:AlternateContent>
    <xdr:clientData/>
  </xdr:oneCellAnchor>
  <xdr:twoCellAnchor>
    <xdr:from>
      <xdr:col>5</xdr:col>
      <xdr:colOff>335064</xdr:colOff>
      <xdr:row>114</xdr:row>
      <xdr:rowOff>27021</xdr:rowOff>
    </xdr:from>
    <xdr:to>
      <xdr:col>6</xdr:col>
      <xdr:colOff>453958</xdr:colOff>
      <xdr:row>114</xdr:row>
      <xdr:rowOff>37830</xdr:rowOff>
    </xdr:to>
    <xdr:cxnSp macro="">
      <xdr:nvCxnSpPr>
        <xdr:cNvPr id="17" name="Straight Connector 16">
          <a:extLst>
            <a:ext uri="{FF2B5EF4-FFF2-40B4-BE49-F238E27FC236}">
              <a16:creationId xmlns:a16="http://schemas.microsoft.com/office/drawing/2014/main" id="{74CADEC9-BBAF-8723-D4ED-4A6386B1A8D9}"/>
            </a:ext>
          </a:extLst>
        </xdr:cNvPr>
        <xdr:cNvCxnSpPr/>
      </xdr:nvCxnSpPr>
      <xdr:spPr>
        <a:xfrm flipH="1" flipV="1">
          <a:off x="13718734553" y="23459872"/>
          <a:ext cx="956553" cy="1080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318850</xdr:colOff>
      <xdr:row>114</xdr:row>
      <xdr:rowOff>21618</xdr:rowOff>
    </xdr:from>
    <xdr:to>
      <xdr:col>5</xdr:col>
      <xdr:colOff>329659</xdr:colOff>
      <xdr:row>116</xdr:row>
      <xdr:rowOff>178341</xdr:rowOff>
    </xdr:to>
    <xdr:cxnSp macro="">
      <xdr:nvCxnSpPr>
        <xdr:cNvPr id="19" name="Straight Connector 18">
          <a:extLst>
            <a:ext uri="{FF2B5EF4-FFF2-40B4-BE49-F238E27FC236}">
              <a16:creationId xmlns:a16="http://schemas.microsoft.com/office/drawing/2014/main" id="{4E8DB09C-2686-1E89-99F0-7E6831F6C1A0}"/>
            </a:ext>
          </a:extLst>
        </xdr:cNvPr>
        <xdr:cNvCxnSpPr/>
      </xdr:nvCxnSpPr>
      <xdr:spPr>
        <a:xfrm flipH="1" flipV="1">
          <a:off x="13719696511" y="23454469"/>
          <a:ext cx="10809" cy="567446"/>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443149</xdr:colOff>
      <xdr:row>114</xdr:row>
      <xdr:rowOff>32425</xdr:rowOff>
    </xdr:from>
    <xdr:to>
      <xdr:col>6</xdr:col>
      <xdr:colOff>443150</xdr:colOff>
      <xdr:row>116</xdr:row>
      <xdr:rowOff>156724</xdr:rowOff>
    </xdr:to>
    <xdr:cxnSp macro="">
      <xdr:nvCxnSpPr>
        <xdr:cNvPr id="21" name="Straight Connector 20">
          <a:extLst>
            <a:ext uri="{FF2B5EF4-FFF2-40B4-BE49-F238E27FC236}">
              <a16:creationId xmlns:a16="http://schemas.microsoft.com/office/drawing/2014/main" id="{FF97958D-517D-E441-901A-E00DD006C035}"/>
            </a:ext>
          </a:extLst>
        </xdr:cNvPr>
        <xdr:cNvCxnSpPr/>
      </xdr:nvCxnSpPr>
      <xdr:spPr>
        <a:xfrm>
          <a:off x="13718745361" y="23465276"/>
          <a:ext cx="1" cy="535022"/>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216168</xdr:colOff>
      <xdr:row>118</xdr:row>
      <xdr:rowOff>35128</xdr:rowOff>
    </xdr:from>
    <xdr:to>
      <xdr:col>3</xdr:col>
      <xdr:colOff>829550</xdr:colOff>
      <xdr:row>120</xdr:row>
      <xdr:rowOff>21617</xdr:rowOff>
    </xdr:to>
    <xdr:sp macro="" textlink="">
      <xdr:nvSpPr>
        <xdr:cNvPr id="24" name="Left Brace 23">
          <a:extLst>
            <a:ext uri="{FF2B5EF4-FFF2-40B4-BE49-F238E27FC236}">
              <a16:creationId xmlns:a16="http://schemas.microsoft.com/office/drawing/2014/main" id="{603AD9AF-4BF5-18C1-5EDF-CE66C6BD4751}"/>
            </a:ext>
          </a:extLst>
        </xdr:cNvPr>
        <xdr:cNvSpPr/>
      </xdr:nvSpPr>
      <xdr:spPr>
        <a:xfrm rot="16200000">
          <a:off x="13721817684" y="23343681"/>
          <a:ext cx="397212" cy="2288701"/>
        </a:xfrm>
        <a:prstGeom prst="leftBrace">
          <a:avLst>
            <a:gd name="adj1" fmla="val 8333"/>
            <a:gd name="adj2" fmla="val 1358"/>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501217</xdr:colOff>
      <xdr:row>185</xdr:row>
      <xdr:rowOff>165816</xdr:rowOff>
    </xdr:from>
    <xdr:to>
      <xdr:col>6</xdr:col>
      <xdr:colOff>60297</xdr:colOff>
      <xdr:row>185</xdr:row>
      <xdr:rowOff>188427</xdr:rowOff>
    </xdr:to>
    <xdr:cxnSp macro="">
      <xdr:nvCxnSpPr>
        <xdr:cNvPr id="26" name="Straight Arrow Connector 25">
          <a:extLst>
            <a:ext uri="{FF2B5EF4-FFF2-40B4-BE49-F238E27FC236}">
              <a16:creationId xmlns:a16="http://schemas.microsoft.com/office/drawing/2014/main" id="{8762D33E-B7CB-200E-68B7-060C06F18F47}"/>
            </a:ext>
          </a:extLst>
        </xdr:cNvPr>
        <xdr:cNvCxnSpPr/>
      </xdr:nvCxnSpPr>
      <xdr:spPr>
        <a:xfrm>
          <a:off x="13702056380" y="38243205"/>
          <a:ext cx="4578783" cy="226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768784</xdr:colOff>
      <xdr:row>187</xdr:row>
      <xdr:rowOff>113057</xdr:rowOff>
    </xdr:from>
    <xdr:to>
      <xdr:col>4</xdr:col>
      <xdr:colOff>79139</xdr:colOff>
      <xdr:row>187</xdr:row>
      <xdr:rowOff>116825</xdr:rowOff>
    </xdr:to>
    <xdr:cxnSp macro="">
      <xdr:nvCxnSpPr>
        <xdr:cNvPr id="30" name="Straight Arrow Connector 29">
          <a:extLst>
            <a:ext uri="{FF2B5EF4-FFF2-40B4-BE49-F238E27FC236}">
              <a16:creationId xmlns:a16="http://schemas.microsoft.com/office/drawing/2014/main" id="{38FDCC43-24EF-784D-0523-10DF474459A7}"/>
            </a:ext>
          </a:extLst>
        </xdr:cNvPr>
        <xdr:cNvCxnSpPr/>
      </xdr:nvCxnSpPr>
      <xdr:spPr>
        <a:xfrm flipV="1">
          <a:off x="13703710772" y="38393947"/>
          <a:ext cx="2656824" cy="37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552926</xdr:colOff>
      <xdr:row>191</xdr:row>
      <xdr:rowOff>31980</xdr:rowOff>
    </xdr:from>
    <xdr:ext cx="2667851" cy="347659"/>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5616BB27-DCEA-6109-F41B-D45769B27534}"/>
                </a:ext>
              </a:extLst>
            </xdr:cNvPr>
            <xdr:cNvSpPr txBox="1"/>
          </xdr:nvSpPr>
          <xdr:spPr>
            <a:xfrm>
              <a:off x="13725340992" y="39039123"/>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solidFill>
                              <a:srgbClr val="FF0000"/>
                            </a:solidFill>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0.3</m:t>
                        </m:r>
                      </m:num>
                      <m:den>
                        <m:r>
                          <a:rPr lang="en-US" sz="1100" b="0" i="1">
                            <a:solidFill>
                              <a:srgbClr val="FF0000"/>
                            </a:solidFill>
                            <a:latin typeface="Cambria Math" panose="02040503050406030204" pitchFamily="18" charset="0"/>
                          </a:rPr>
                          <m:t>17.8%</m:t>
                        </m:r>
                        <m:r>
                          <a:rPr lang="en-US" sz="1100" b="0" i="1">
                            <a:latin typeface="Cambria Math" panose="02040503050406030204" pitchFamily="18" charset="0"/>
                          </a:rPr>
                          <m:t>−5%</m:t>
                        </m:r>
                      </m:den>
                    </m:f>
                    <m:r>
                      <a:rPr lang="en-US" sz="1100" b="0" i="1">
                        <a:latin typeface="Cambria Math" panose="02040503050406030204" pitchFamily="18" charset="0"/>
                      </a:rPr>
                      <m:t>=</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5616BB27-DCEA-6109-F41B-D45769B27534}"/>
                </a:ext>
              </a:extLst>
            </xdr:cNvPr>
            <xdr:cNvSpPr txBox="1"/>
          </xdr:nvSpPr>
          <xdr:spPr>
            <a:xfrm>
              <a:off x="13725340992" y="39039123"/>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a:t>
              </a:r>
              <a:r>
                <a:rPr lang="en-US" sz="1100" b="0" i="0">
                  <a:solidFill>
                    <a:srgbClr val="FF0000"/>
                  </a:solidFill>
                  <a:latin typeface="Cambria Math" panose="02040503050406030204" pitchFamily="18" charset="0"/>
                </a:rPr>
                <a:t>𝑟</a:t>
              </a:r>
              <a:r>
                <a:rPr lang="en-US" sz="1100" b="0" i="0">
                  <a:latin typeface="Cambria Math" panose="02040503050406030204" pitchFamily="18" charset="0"/>
                </a:rPr>
                <a:t>−𝑔)→0.3/(</a:t>
              </a:r>
              <a:r>
                <a:rPr lang="en-US" sz="1100" b="0" i="0">
                  <a:solidFill>
                    <a:srgbClr val="FF0000"/>
                  </a:solidFill>
                  <a:latin typeface="Cambria Math" panose="02040503050406030204" pitchFamily="18" charset="0"/>
                </a:rPr>
                <a:t>17.8%</a:t>
              </a:r>
              <a:r>
                <a:rPr lang="en-US" sz="1100" b="0" i="0">
                  <a:latin typeface="Cambria Math" panose="02040503050406030204" pitchFamily="18" charset="0"/>
                </a:rPr>
                <a:t>−5%)=</a:t>
              </a:r>
              <a:endParaRPr lang="en-US" sz="1100"/>
            </a:p>
          </xdr:txBody>
        </xdr:sp>
      </mc:Fallback>
    </mc:AlternateContent>
    <xdr:clientData/>
  </xdr:oneCellAnchor>
  <xdr:oneCellAnchor>
    <xdr:from>
      <xdr:col>1</xdr:col>
      <xdr:colOff>146974</xdr:colOff>
      <xdr:row>197</xdr:row>
      <xdr:rowOff>32711</xdr:rowOff>
    </xdr:from>
    <xdr:ext cx="4209980"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717F6E6D-6101-1286-307F-1F5C019D3C71}"/>
                </a:ext>
              </a:extLst>
            </xdr:cNvPr>
            <xdr:cNvSpPr txBox="1"/>
          </xdr:nvSpPr>
          <xdr:spPr>
            <a:xfrm>
              <a:off x="13701942809" y="40348616"/>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r>
                      <a:rPr lang="en-US" sz="1100" b="0" i="1">
                        <a:latin typeface="Cambria Math" panose="02040503050406030204" pitchFamily="18" charset="0"/>
                      </a:rPr>
                      <m:t>→5%+</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13%−5%</m:t>
                        </m:r>
                      </m:e>
                    </m:d>
                    <m:r>
                      <a:rPr lang="en-US" sz="1100" b="0" i="1">
                        <a:latin typeface="Cambria Math" panose="02040503050406030204" pitchFamily="18" charset="0"/>
                      </a:rPr>
                      <m:t>∗1.6=</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717F6E6D-6101-1286-307F-1F5C019D3C71}"/>
                </a:ext>
              </a:extLst>
            </xdr:cNvPr>
            <xdr:cNvSpPr txBox="1"/>
          </xdr:nvSpPr>
          <xdr:spPr>
            <a:xfrm>
              <a:off x="13701942809" y="40348616"/>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𝑟</a:t>
              </a:r>
              <a:r>
                <a:rPr lang="en-US" sz="1100" b="0" i="0">
                  <a:latin typeface="Cambria Math" panose="02040503050406030204" pitchFamily="18" charset="0"/>
                </a:rPr>
                <a:t>=𝑅_𝐹+[𝐸(𝑀)−𝑅_𝐹 ]∗𝛽→5%+[13%−5%]∗1.6=</a:t>
              </a:r>
              <a:endParaRPr lang="en-US" sz="1100"/>
            </a:p>
          </xdr:txBody>
        </xdr:sp>
      </mc:Fallback>
    </mc:AlternateContent>
    <xdr:clientData/>
  </xdr:oneCellAnchor>
  <xdr:twoCellAnchor>
    <xdr:from>
      <xdr:col>4</xdr:col>
      <xdr:colOff>423333</xdr:colOff>
      <xdr:row>188</xdr:row>
      <xdr:rowOff>21599</xdr:rowOff>
    </xdr:from>
    <xdr:to>
      <xdr:col>4</xdr:col>
      <xdr:colOff>423333</xdr:colOff>
      <xdr:row>189</xdr:row>
      <xdr:rowOff>142551</xdr:rowOff>
    </xdr:to>
    <xdr:cxnSp macro="">
      <xdr:nvCxnSpPr>
        <xdr:cNvPr id="34" name="Straight Connector 33">
          <a:extLst>
            <a:ext uri="{FF2B5EF4-FFF2-40B4-BE49-F238E27FC236}">
              <a16:creationId xmlns:a16="http://schemas.microsoft.com/office/drawing/2014/main" id="{AD59B511-E3F8-D1A6-7189-51B1EEEE6BD5}"/>
            </a:ext>
          </a:extLst>
        </xdr:cNvPr>
        <xdr:cNvCxnSpPr/>
      </xdr:nvCxnSpPr>
      <xdr:spPr>
        <a:xfrm>
          <a:off x="13726462381" y="38419660"/>
          <a:ext cx="0" cy="32397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358537</xdr:colOff>
      <xdr:row>186</xdr:row>
      <xdr:rowOff>60476</xdr:rowOff>
    </xdr:from>
    <xdr:to>
      <xdr:col>5</xdr:col>
      <xdr:colOff>362857</xdr:colOff>
      <xdr:row>189</xdr:row>
      <xdr:rowOff>159830</xdr:rowOff>
    </xdr:to>
    <xdr:cxnSp macro="">
      <xdr:nvCxnSpPr>
        <xdr:cNvPr id="35" name="Straight Connector 34">
          <a:extLst>
            <a:ext uri="{FF2B5EF4-FFF2-40B4-BE49-F238E27FC236}">
              <a16:creationId xmlns:a16="http://schemas.microsoft.com/office/drawing/2014/main" id="{59134082-4602-86B5-01B9-1421615ABC60}"/>
            </a:ext>
          </a:extLst>
        </xdr:cNvPr>
        <xdr:cNvCxnSpPr/>
      </xdr:nvCxnSpPr>
      <xdr:spPr>
        <a:xfrm>
          <a:off x="13725684830" y="38052483"/>
          <a:ext cx="4320" cy="708435"/>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431973</xdr:colOff>
      <xdr:row>189</xdr:row>
      <xdr:rowOff>142551</xdr:rowOff>
    </xdr:from>
    <xdr:to>
      <xdr:col>5</xdr:col>
      <xdr:colOff>375816</xdr:colOff>
      <xdr:row>189</xdr:row>
      <xdr:rowOff>142551</xdr:rowOff>
    </xdr:to>
    <xdr:cxnSp macro="">
      <xdr:nvCxnSpPr>
        <xdr:cNvPr id="37" name="Straight Connector 36">
          <a:extLst>
            <a:ext uri="{FF2B5EF4-FFF2-40B4-BE49-F238E27FC236}">
              <a16:creationId xmlns:a16="http://schemas.microsoft.com/office/drawing/2014/main" id="{712F1977-1FFA-D134-ACC0-5330E4B5B56C}"/>
            </a:ext>
          </a:extLst>
        </xdr:cNvPr>
        <xdr:cNvCxnSpPr/>
      </xdr:nvCxnSpPr>
      <xdr:spPr>
        <a:xfrm flipH="1">
          <a:off x="13725671871" y="38743639"/>
          <a:ext cx="781870"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501217</xdr:colOff>
      <xdr:row>222</xdr:row>
      <xdr:rowOff>165816</xdr:rowOff>
    </xdr:from>
    <xdr:to>
      <xdr:col>6</xdr:col>
      <xdr:colOff>60297</xdr:colOff>
      <xdr:row>222</xdr:row>
      <xdr:rowOff>188427</xdr:rowOff>
    </xdr:to>
    <xdr:cxnSp macro="">
      <xdr:nvCxnSpPr>
        <xdr:cNvPr id="41" name="Straight Arrow Connector 40">
          <a:extLst>
            <a:ext uri="{FF2B5EF4-FFF2-40B4-BE49-F238E27FC236}">
              <a16:creationId xmlns:a16="http://schemas.microsoft.com/office/drawing/2014/main" id="{2FDC2D2E-3259-544C-9F48-777AFC62C69E}"/>
            </a:ext>
          </a:extLst>
        </xdr:cNvPr>
        <xdr:cNvCxnSpPr/>
      </xdr:nvCxnSpPr>
      <xdr:spPr>
        <a:xfrm>
          <a:off x="13725149363" y="37954796"/>
          <a:ext cx="4587243" cy="226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768784</xdr:colOff>
      <xdr:row>224</xdr:row>
      <xdr:rowOff>113057</xdr:rowOff>
    </xdr:from>
    <xdr:to>
      <xdr:col>4</xdr:col>
      <xdr:colOff>79139</xdr:colOff>
      <xdr:row>224</xdr:row>
      <xdr:rowOff>116825</xdr:rowOff>
    </xdr:to>
    <xdr:cxnSp macro="">
      <xdr:nvCxnSpPr>
        <xdr:cNvPr id="42" name="Straight Arrow Connector 41">
          <a:extLst>
            <a:ext uri="{FF2B5EF4-FFF2-40B4-BE49-F238E27FC236}">
              <a16:creationId xmlns:a16="http://schemas.microsoft.com/office/drawing/2014/main" id="{F41AD22C-C199-3140-8CC1-51F4220925A5}"/>
            </a:ext>
          </a:extLst>
        </xdr:cNvPr>
        <xdr:cNvCxnSpPr/>
      </xdr:nvCxnSpPr>
      <xdr:spPr>
        <a:xfrm flipV="1">
          <a:off x="13726806575" y="38308091"/>
          <a:ext cx="2662464" cy="37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82075</xdr:colOff>
      <xdr:row>228</xdr:row>
      <xdr:rowOff>40619</xdr:rowOff>
    </xdr:from>
    <xdr:ext cx="2667851" cy="347659"/>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BC4EAC75-63DE-2044-920E-1FEBA1BF9881}"/>
                </a:ext>
              </a:extLst>
            </xdr:cNvPr>
            <xdr:cNvSpPr txBox="1"/>
          </xdr:nvSpPr>
          <xdr:spPr>
            <a:xfrm>
              <a:off x="13724973815" y="46559769"/>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he-IL"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solidFill>
                              <a:sysClr val="windowText" lastClr="000000"/>
                            </a:solidFill>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FF0000"/>
                            </a:solidFill>
                            <a:latin typeface="Cambria Math" panose="02040503050406030204" pitchFamily="18" charset="0"/>
                          </a:rPr>
                          <m:t>0.3</m:t>
                        </m:r>
                        <m:r>
                          <a:rPr lang="he-IL" sz="1100" b="0" i="1">
                            <a:solidFill>
                              <a:srgbClr val="FF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17.8%</m:t>
                        </m:r>
                        <m:r>
                          <a:rPr lang="en-US" sz="1100" b="0" i="1">
                            <a:latin typeface="Cambria Math" panose="02040503050406030204" pitchFamily="18" charset="0"/>
                          </a:rPr>
                          <m:t>−</m:t>
                        </m:r>
                        <m:r>
                          <a:rPr lang="he-IL" sz="1100" b="0" i="1">
                            <a:solidFill>
                              <a:srgbClr val="00B0F0"/>
                            </a:solidFill>
                            <a:latin typeface="Cambria Math" panose="02040503050406030204" pitchFamily="18" charset="0"/>
                          </a:rPr>
                          <m:t>0</m:t>
                        </m:r>
                        <m:r>
                          <a:rPr lang="en-US" sz="1100" b="0" i="1">
                            <a:latin typeface="Cambria Math" panose="02040503050406030204" pitchFamily="18" charset="0"/>
                          </a:rPr>
                          <m:t>%</m:t>
                        </m:r>
                      </m:den>
                    </m:f>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BC4EAC75-63DE-2044-920E-1FEBA1BF9881}"/>
                </a:ext>
              </a:extLst>
            </xdr:cNvPr>
            <xdr:cNvSpPr txBox="1"/>
          </xdr:nvSpPr>
          <xdr:spPr>
            <a:xfrm>
              <a:off x="13724973815" y="46559769"/>
              <a:ext cx="266785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 (</a:t>
              </a:r>
              <a:r>
                <a:rPr lang="en-US" sz="1100" b="0" i="0">
                  <a:latin typeface="Cambria Math" panose="02040503050406030204" pitchFamily="18" charset="0"/>
                </a:rPr>
                <a:t>𝑁𝑜 𝐺𝑟𝑜𝑤𝑡ℎ)=𝐷𝑖𝑣/(</a:t>
              </a:r>
              <a:r>
                <a:rPr lang="en-US" sz="1100" b="0" i="0">
                  <a:solidFill>
                    <a:sysClr val="windowText" lastClr="000000"/>
                  </a:solidFill>
                  <a:latin typeface="Cambria Math" panose="02040503050406030204" pitchFamily="18" charset="0"/>
                </a:rPr>
                <a:t>𝑟</a:t>
              </a:r>
              <a:r>
                <a:rPr lang="en-US" sz="1100" b="0" i="0">
                  <a:latin typeface="Cambria Math" panose="02040503050406030204" pitchFamily="18" charset="0"/>
                </a:rPr>
                <a:t>−𝑔)→</a:t>
              </a:r>
              <a:r>
                <a:rPr lang="en-US" sz="1100" b="0" i="0">
                  <a:solidFill>
                    <a:srgbClr val="FF0000"/>
                  </a:solidFill>
                  <a:latin typeface="Cambria Math" panose="02040503050406030204" pitchFamily="18" charset="0"/>
                </a:rPr>
                <a:t>0.3</a:t>
              </a:r>
              <a:r>
                <a:rPr lang="he-IL" sz="1100" b="0" i="0">
                  <a:solidFill>
                    <a:srgbClr val="FF0000"/>
                  </a:solidFill>
                  <a:latin typeface="Cambria Math" panose="02040503050406030204" pitchFamily="18" charset="0"/>
                </a:rPr>
                <a:t>1</a:t>
              </a:r>
              <a:r>
                <a:rPr lang="en-US" sz="1100" b="0" i="0">
                  <a:solidFill>
                    <a:srgbClr val="FF0000"/>
                  </a:solidFill>
                  <a:latin typeface="Cambria Math" panose="02040503050406030204" pitchFamily="18" charset="0"/>
                </a:rPr>
                <a:t>/(</a:t>
              </a:r>
              <a:r>
                <a:rPr lang="en-US" sz="1100" b="0" i="0">
                  <a:solidFill>
                    <a:sysClr val="windowText" lastClr="000000"/>
                  </a:solidFill>
                  <a:latin typeface="Cambria Math" panose="02040503050406030204" pitchFamily="18" charset="0"/>
                </a:rPr>
                <a:t>17.8%</a:t>
              </a:r>
              <a:r>
                <a:rPr lang="en-US" sz="1100" b="0" i="0">
                  <a:latin typeface="Cambria Math" panose="02040503050406030204" pitchFamily="18" charset="0"/>
                </a:rPr>
                <a:t>−</a:t>
              </a:r>
              <a:r>
                <a:rPr lang="he-IL" sz="1100" b="0" i="0">
                  <a:solidFill>
                    <a:srgbClr val="00B0F0"/>
                  </a:solidFill>
                  <a:latin typeface="Cambria Math" panose="02040503050406030204" pitchFamily="18" charset="0"/>
                </a:rPr>
                <a:t>0</a:t>
              </a:r>
              <a:r>
                <a:rPr lang="en-US" sz="1100" b="0" i="0">
                  <a:latin typeface="Cambria Math" panose="02040503050406030204" pitchFamily="18" charset="0"/>
                </a:rPr>
                <a:t>%)=</a:t>
              </a:r>
              <a:endParaRPr lang="en-US" sz="1100"/>
            </a:p>
          </xdr:txBody>
        </xdr:sp>
      </mc:Fallback>
    </mc:AlternateContent>
    <xdr:clientData/>
  </xdr:oneCellAnchor>
  <xdr:twoCellAnchor>
    <xdr:from>
      <xdr:col>4</xdr:col>
      <xdr:colOff>423333</xdr:colOff>
      <xdr:row>225</xdr:row>
      <xdr:rowOff>21599</xdr:rowOff>
    </xdr:from>
    <xdr:to>
      <xdr:col>4</xdr:col>
      <xdr:colOff>423333</xdr:colOff>
      <xdr:row>226</xdr:row>
      <xdr:rowOff>142551</xdr:rowOff>
    </xdr:to>
    <xdr:cxnSp macro="">
      <xdr:nvCxnSpPr>
        <xdr:cNvPr id="44" name="Straight Connector 43">
          <a:extLst>
            <a:ext uri="{FF2B5EF4-FFF2-40B4-BE49-F238E27FC236}">
              <a16:creationId xmlns:a16="http://schemas.microsoft.com/office/drawing/2014/main" id="{25A7F178-2056-5545-938C-E81EC648875E}"/>
            </a:ext>
          </a:extLst>
        </xdr:cNvPr>
        <xdr:cNvCxnSpPr/>
      </xdr:nvCxnSpPr>
      <xdr:spPr>
        <a:xfrm>
          <a:off x="13726462381" y="38419660"/>
          <a:ext cx="0" cy="32397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358537</xdr:colOff>
      <xdr:row>223</xdr:row>
      <xdr:rowOff>60476</xdr:rowOff>
    </xdr:from>
    <xdr:to>
      <xdr:col>5</xdr:col>
      <xdr:colOff>362857</xdr:colOff>
      <xdr:row>226</xdr:row>
      <xdr:rowOff>159830</xdr:rowOff>
    </xdr:to>
    <xdr:cxnSp macro="">
      <xdr:nvCxnSpPr>
        <xdr:cNvPr id="45" name="Straight Connector 44">
          <a:extLst>
            <a:ext uri="{FF2B5EF4-FFF2-40B4-BE49-F238E27FC236}">
              <a16:creationId xmlns:a16="http://schemas.microsoft.com/office/drawing/2014/main" id="{2CD8A059-F8BF-4A42-AB7E-898564E6165F}"/>
            </a:ext>
          </a:extLst>
        </xdr:cNvPr>
        <xdr:cNvCxnSpPr/>
      </xdr:nvCxnSpPr>
      <xdr:spPr>
        <a:xfrm>
          <a:off x="13725684830" y="38052483"/>
          <a:ext cx="4320" cy="708435"/>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431973</xdr:colOff>
      <xdr:row>226</xdr:row>
      <xdr:rowOff>142551</xdr:rowOff>
    </xdr:from>
    <xdr:to>
      <xdr:col>5</xdr:col>
      <xdr:colOff>375816</xdr:colOff>
      <xdr:row>226</xdr:row>
      <xdr:rowOff>142551</xdr:rowOff>
    </xdr:to>
    <xdr:cxnSp macro="">
      <xdr:nvCxnSpPr>
        <xdr:cNvPr id="46" name="Straight Connector 45">
          <a:extLst>
            <a:ext uri="{FF2B5EF4-FFF2-40B4-BE49-F238E27FC236}">
              <a16:creationId xmlns:a16="http://schemas.microsoft.com/office/drawing/2014/main" id="{3235439E-2EE2-4041-A51E-E4BBDC98DFAF}"/>
            </a:ext>
          </a:extLst>
        </xdr:cNvPr>
        <xdr:cNvCxnSpPr/>
      </xdr:nvCxnSpPr>
      <xdr:spPr>
        <a:xfrm flipH="1">
          <a:off x="13725671871" y="38743639"/>
          <a:ext cx="781870"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298061</xdr:colOff>
      <xdr:row>262</xdr:row>
      <xdr:rowOff>17279</xdr:rowOff>
    </xdr:from>
    <xdr:ext cx="4209980"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D7708FC1-48D1-4643-9E3A-0EB67D58C484}"/>
                </a:ext>
              </a:extLst>
            </xdr:cNvPr>
            <xdr:cNvSpPr txBox="1"/>
          </xdr:nvSpPr>
          <xdr:spPr>
            <a:xfrm>
              <a:off x="13723215700" y="53236327"/>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r>
                      <a:rPr lang="en-US" sz="1100" b="0" i="1">
                        <a:latin typeface="Cambria Math" panose="02040503050406030204" pitchFamily="18" charset="0"/>
                      </a:rPr>
                      <m:t>→5%+</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13%−5%</m:t>
                        </m:r>
                      </m:e>
                    </m:d>
                    <m:r>
                      <a:rPr lang="en-US" sz="1100" b="0" i="1">
                        <a:latin typeface="Cambria Math" panose="02040503050406030204" pitchFamily="18" charset="0"/>
                      </a:rPr>
                      <m:t>∗2.875=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D7708FC1-48D1-4643-9E3A-0EB67D58C484}"/>
                </a:ext>
              </a:extLst>
            </xdr:cNvPr>
            <xdr:cNvSpPr txBox="1"/>
          </xdr:nvSpPr>
          <xdr:spPr>
            <a:xfrm>
              <a:off x="13723215700" y="53236327"/>
              <a:ext cx="4209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𝑟</a:t>
              </a:r>
              <a:r>
                <a:rPr lang="en-US" sz="1100" b="0" i="0">
                  <a:latin typeface="Cambria Math" panose="02040503050406030204" pitchFamily="18" charset="0"/>
                </a:rPr>
                <a:t>=𝑅_𝐹+[𝐸(𝑀)−𝑅_𝐹 ]∗𝛽→5%+[13%−5%]∗2.875=</a:t>
              </a:r>
              <a:endParaRPr lang="en-US" sz="11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oneCellAnchor>
    <xdr:from>
      <xdr:col>2</xdr:col>
      <xdr:colOff>398106</xdr:colOff>
      <xdr:row>96</xdr:row>
      <xdr:rowOff>64561</xdr:rowOff>
    </xdr:from>
    <xdr:ext cx="2995236" cy="177741"/>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2515E48F-FEEA-364F-9EE0-865285716597}"/>
                </a:ext>
              </a:extLst>
            </xdr:cNvPr>
            <xdr:cNvSpPr txBox="1"/>
          </xdr:nvSpPr>
          <xdr:spPr>
            <a:xfrm>
              <a:off x="13719145807" y="18614667"/>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r>
                          <a:rPr lang="en-US" sz="1100" b="0" i="1">
                            <a:latin typeface="Cambria Math" panose="02040503050406030204" pitchFamily="18" charset="0"/>
                          </a:rPr>
                          <m:t>0.5</m:t>
                        </m:r>
                      </m:sup>
                    </m:sSup>
                    <m:r>
                      <a:rPr lang="en-US" sz="1100" b="0" i="1">
                        <a:latin typeface="Cambria Math" panose="02040503050406030204" pitchFamily="18" charset="0"/>
                      </a:rPr>
                      <m:t>−1=</m:t>
                    </m:r>
                    <m:r>
                      <a:rPr lang="en-US" sz="1100" b="0" i="1">
                        <a:solidFill>
                          <a:srgbClr val="FF0000"/>
                        </a:solidFill>
                        <a:latin typeface="Cambria Math" panose="02040503050406030204" pitchFamily="18" charset="0"/>
                      </a:rPr>
                      <m:t>3%</m:t>
                    </m:r>
                    <m:r>
                      <a:rPr lang="en-US" sz="1100" b="0" i="1">
                        <a:latin typeface="Cambria Math" panose="02040503050406030204" pitchFamily="18" charset="0"/>
                      </a:rPr>
                      <m:t> </m:t>
                    </m:r>
                  </m:oMath>
                </m:oMathPara>
              </a14:m>
              <a:endParaRPr lang="en-US" sz="1100"/>
            </a:p>
          </xdr:txBody>
        </xdr:sp>
      </mc:Choice>
      <mc:Fallback xmlns="">
        <xdr:sp macro="" textlink="">
          <xdr:nvSpPr>
            <xdr:cNvPr id="2" name="TextBox 1">
              <a:extLst>
                <a:ext uri="{FF2B5EF4-FFF2-40B4-BE49-F238E27FC236}">
                  <a16:creationId xmlns:a16="http://schemas.microsoft.com/office/drawing/2014/main" id="{2515E48F-FEEA-364F-9EE0-865285716597}"/>
                </a:ext>
              </a:extLst>
            </xdr:cNvPr>
            <xdr:cNvSpPr txBox="1"/>
          </xdr:nvSpPr>
          <xdr:spPr>
            <a:xfrm>
              <a:off x="13719145807" y="18614667"/>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𝑠ℎ𝑎𝑛𝑎)=(1+6.09%)^0.5−1=</a:t>
              </a:r>
              <a:r>
                <a:rPr lang="en-US" sz="1100" b="0" i="0">
                  <a:solidFill>
                    <a:srgbClr val="FF0000"/>
                  </a:solidFill>
                  <a:latin typeface="Cambria Math" panose="02040503050406030204" pitchFamily="18" charset="0"/>
                </a:rPr>
                <a:t>3%</a:t>
              </a:r>
              <a:r>
                <a:rPr lang="en-US" sz="1100" b="0" i="0">
                  <a:latin typeface="Cambria Math" panose="02040503050406030204" pitchFamily="18" charset="0"/>
                </a:rPr>
                <a:t> </a:t>
              </a:r>
              <a:endParaRPr lang="en-US" sz="1100"/>
            </a:p>
          </xdr:txBody>
        </xdr:sp>
      </mc:Fallback>
    </mc:AlternateContent>
    <xdr:clientData/>
  </xdr:oneCellAnchor>
  <xdr:oneCellAnchor>
    <xdr:from>
      <xdr:col>2</xdr:col>
      <xdr:colOff>372665</xdr:colOff>
      <xdr:row>509</xdr:row>
      <xdr:rowOff>6350</xdr:rowOff>
    </xdr:from>
    <xdr:ext cx="2995236" cy="177741"/>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AF5071EE-0B95-AB45-A85B-336AFFC4B331}"/>
                </a:ext>
              </a:extLst>
            </xdr:cNvPr>
            <xdr:cNvSpPr txBox="1"/>
          </xdr:nvSpPr>
          <xdr:spPr>
            <a:xfrm>
              <a:off x="13519973099" y="83610450"/>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r>
                          <a:rPr lang="en-US" sz="1100" b="0" i="1">
                            <a:latin typeface="Cambria Math" panose="02040503050406030204" pitchFamily="18" charset="0"/>
                          </a:rPr>
                          <m:t>0.5</m:t>
                        </m:r>
                      </m:sup>
                    </m:sSup>
                    <m:r>
                      <a:rPr lang="en-US" sz="1100" b="0" i="1">
                        <a:latin typeface="Cambria Math" panose="02040503050406030204" pitchFamily="18" charset="0"/>
                      </a:rPr>
                      <m:t>−1=3% </m:t>
                    </m:r>
                  </m:oMath>
                </m:oMathPara>
              </a14:m>
              <a:endParaRPr lang="en-US" sz="1100"/>
            </a:p>
          </xdr:txBody>
        </xdr:sp>
      </mc:Choice>
      <mc:Fallback xmlns="">
        <xdr:sp macro="" textlink="">
          <xdr:nvSpPr>
            <xdr:cNvPr id="3" name="TextBox 2">
              <a:extLst>
                <a:ext uri="{FF2B5EF4-FFF2-40B4-BE49-F238E27FC236}">
                  <a16:creationId xmlns:a16="http://schemas.microsoft.com/office/drawing/2014/main" id="{AF5071EE-0B95-AB45-A85B-336AFFC4B331}"/>
                </a:ext>
              </a:extLst>
            </xdr:cNvPr>
            <xdr:cNvSpPr txBox="1"/>
          </xdr:nvSpPr>
          <xdr:spPr>
            <a:xfrm>
              <a:off x="13519973099" y="83610450"/>
              <a:ext cx="299523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𝑠ℎ𝑎𝑛𝑎)=(1+6.09%)^0.5−1=3% </a:t>
              </a:r>
              <a:endParaRPr lang="en-US" sz="1100"/>
            </a:p>
          </xdr:txBody>
        </xdr:sp>
      </mc:Fallback>
    </mc:AlternateContent>
    <xdr:clientData/>
  </xdr:oneCellAnchor>
  <xdr:twoCellAnchor>
    <xdr:from>
      <xdr:col>2</xdr:col>
      <xdr:colOff>287262</xdr:colOff>
      <xdr:row>28</xdr:row>
      <xdr:rowOff>120953</xdr:rowOff>
    </xdr:from>
    <xdr:to>
      <xdr:col>4</xdr:col>
      <xdr:colOff>136071</xdr:colOff>
      <xdr:row>31</xdr:row>
      <xdr:rowOff>188988</xdr:rowOff>
    </xdr:to>
    <xdr:sp macro="" textlink="">
      <xdr:nvSpPr>
        <xdr:cNvPr id="9" name="Rectangle 8">
          <a:extLst>
            <a:ext uri="{FF2B5EF4-FFF2-40B4-BE49-F238E27FC236}">
              <a16:creationId xmlns:a16="http://schemas.microsoft.com/office/drawing/2014/main" id="{35C6D0D9-20FF-AA8E-2FF1-49052EB79BBC}"/>
            </a:ext>
          </a:extLst>
        </xdr:cNvPr>
        <xdr:cNvSpPr/>
      </xdr:nvSpPr>
      <xdr:spPr>
        <a:xfrm>
          <a:off x="13496788929" y="5926667"/>
          <a:ext cx="1496785" cy="6803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a:t>
          </a:r>
          <a:r>
            <a:rPr lang="he-IL" sz="1100" baseline="0"/>
            <a:t> הערך הנקוב נפרע בתשלומים (״לשיעורין״)?</a:t>
          </a:r>
          <a:endParaRPr lang="en-US" sz="1100"/>
        </a:p>
      </xdr:txBody>
    </xdr:sp>
    <xdr:clientData/>
  </xdr:twoCellAnchor>
  <xdr:twoCellAnchor>
    <xdr:from>
      <xdr:col>4</xdr:col>
      <xdr:colOff>446012</xdr:colOff>
      <xdr:row>33</xdr:row>
      <xdr:rowOff>173870</xdr:rowOff>
    </xdr:from>
    <xdr:to>
      <xdr:col>5</xdr:col>
      <xdr:colOff>393095</xdr:colOff>
      <xdr:row>35</xdr:row>
      <xdr:rowOff>52917</xdr:rowOff>
    </xdr:to>
    <xdr:sp macro="" textlink="">
      <xdr:nvSpPr>
        <xdr:cNvPr id="10" name="Rectangle 9">
          <a:extLst>
            <a:ext uri="{FF2B5EF4-FFF2-40B4-BE49-F238E27FC236}">
              <a16:creationId xmlns:a16="http://schemas.microsoft.com/office/drawing/2014/main" id="{2C3E521D-01F8-F553-1370-3339A028F84E}"/>
            </a:ext>
          </a:extLst>
        </xdr:cNvPr>
        <xdr:cNvSpPr/>
      </xdr:nvSpPr>
      <xdr:spPr>
        <a:xfrm>
          <a:off x="13495707917" y="7000120"/>
          <a:ext cx="771071" cy="287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כן</a:t>
          </a:r>
          <a:endParaRPr lang="en-US" sz="1100"/>
        </a:p>
      </xdr:txBody>
    </xdr:sp>
    <xdr:clientData/>
  </xdr:twoCellAnchor>
  <xdr:twoCellAnchor>
    <xdr:from>
      <xdr:col>1</xdr:col>
      <xdr:colOff>551844</xdr:colOff>
      <xdr:row>33</xdr:row>
      <xdr:rowOff>158751</xdr:rowOff>
    </xdr:from>
    <xdr:to>
      <xdr:col>2</xdr:col>
      <xdr:colOff>468688</xdr:colOff>
      <xdr:row>35</xdr:row>
      <xdr:rowOff>60476</xdr:rowOff>
    </xdr:to>
    <xdr:sp macro="" textlink="">
      <xdr:nvSpPr>
        <xdr:cNvPr id="11" name="Rectangle 10">
          <a:extLst>
            <a:ext uri="{FF2B5EF4-FFF2-40B4-BE49-F238E27FC236}">
              <a16:creationId xmlns:a16="http://schemas.microsoft.com/office/drawing/2014/main" id="{4319DB0E-DD69-BD52-90D2-D8C54318FF8B}"/>
            </a:ext>
          </a:extLst>
        </xdr:cNvPr>
        <xdr:cNvSpPr/>
      </xdr:nvSpPr>
      <xdr:spPr>
        <a:xfrm>
          <a:off x="13498104288" y="6985001"/>
          <a:ext cx="740832" cy="30993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a:t>
          </a:r>
          <a:endParaRPr lang="en-US" sz="1100"/>
        </a:p>
      </xdr:txBody>
    </xdr:sp>
    <xdr:clientData/>
  </xdr:twoCellAnchor>
  <xdr:twoCellAnchor>
    <xdr:from>
      <xdr:col>3</xdr:col>
      <xdr:colOff>718155</xdr:colOff>
      <xdr:row>31</xdr:row>
      <xdr:rowOff>196547</xdr:rowOff>
    </xdr:from>
    <xdr:to>
      <xdr:col>4</xdr:col>
      <xdr:colOff>446012</xdr:colOff>
      <xdr:row>33</xdr:row>
      <xdr:rowOff>173869</xdr:rowOff>
    </xdr:to>
    <xdr:cxnSp macro="">
      <xdr:nvCxnSpPr>
        <xdr:cNvPr id="13" name="Straight Arrow Connector 12">
          <a:extLst>
            <a:ext uri="{FF2B5EF4-FFF2-40B4-BE49-F238E27FC236}">
              <a16:creationId xmlns:a16="http://schemas.microsoft.com/office/drawing/2014/main" id="{8C4C2F64-29FB-852F-ECE5-A3D8D9D933C9}"/>
            </a:ext>
          </a:extLst>
        </xdr:cNvPr>
        <xdr:cNvCxnSpPr/>
      </xdr:nvCxnSpPr>
      <xdr:spPr>
        <a:xfrm flipH="1">
          <a:off x="13496478988" y="6614583"/>
          <a:ext cx="551845" cy="3855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808869</xdr:colOff>
      <xdr:row>35</xdr:row>
      <xdr:rowOff>60476</xdr:rowOff>
    </xdr:from>
    <xdr:to>
      <xdr:col>4</xdr:col>
      <xdr:colOff>808869</xdr:colOff>
      <xdr:row>37</xdr:row>
      <xdr:rowOff>68035</xdr:rowOff>
    </xdr:to>
    <xdr:cxnSp macro="">
      <xdr:nvCxnSpPr>
        <xdr:cNvPr id="14" name="Straight Arrow Connector 13">
          <a:extLst>
            <a:ext uri="{FF2B5EF4-FFF2-40B4-BE49-F238E27FC236}">
              <a16:creationId xmlns:a16="http://schemas.microsoft.com/office/drawing/2014/main" id="{E06B4CC4-99AF-62FE-24F3-CC65DE0CD6AA}"/>
            </a:ext>
          </a:extLst>
        </xdr:cNvPr>
        <xdr:cNvCxnSpPr/>
      </xdr:nvCxnSpPr>
      <xdr:spPr>
        <a:xfrm>
          <a:off x="13496116131" y="7294940"/>
          <a:ext cx="0" cy="4157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83154</xdr:colOff>
      <xdr:row>37</xdr:row>
      <xdr:rowOff>143631</xdr:rowOff>
    </xdr:from>
    <xdr:to>
      <xdr:col>5</xdr:col>
      <xdr:colOff>680356</xdr:colOff>
      <xdr:row>40</xdr:row>
      <xdr:rowOff>188988</xdr:rowOff>
    </xdr:to>
    <xdr:sp macro="" textlink="">
      <xdr:nvSpPr>
        <xdr:cNvPr id="16" name="Rectangle 15">
          <a:extLst>
            <a:ext uri="{FF2B5EF4-FFF2-40B4-BE49-F238E27FC236}">
              <a16:creationId xmlns:a16="http://schemas.microsoft.com/office/drawing/2014/main" id="{5DB4028C-5687-9EFB-702C-4998BDEE2E45}"/>
            </a:ext>
          </a:extLst>
        </xdr:cNvPr>
        <xdr:cNvSpPr/>
      </xdr:nvSpPr>
      <xdr:spPr>
        <a:xfrm>
          <a:off x="13495420656" y="7786310"/>
          <a:ext cx="1421190" cy="6576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ערכו ״לוח סילוקין״ (טבלה)</a:t>
          </a:r>
        </a:p>
        <a:p>
          <a:pPr algn="ctr" rtl="1"/>
          <a:r>
            <a:rPr lang="he-IL" sz="1100"/>
            <a:t>חשבו</a:t>
          </a:r>
          <a:r>
            <a:rPr lang="he-IL" sz="1100" baseline="0"/>
            <a:t> </a:t>
          </a:r>
          <a:r>
            <a:rPr lang="en-US" sz="1100" baseline="0"/>
            <a:t>NPV</a:t>
          </a:r>
          <a:endParaRPr lang="en-US" sz="1100"/>
        </a:p>
      </xdr:txBody>
    </xdr:sp>
    <xdr:clientData/>
  </xdr:twoCellAnchor>
  <xdr:twoCellAnchor>
    <xdr:from>
      <xdr:col>2</xdr:col>
      <xdr:colOff>98272</xdr:colOff>
      <xdr:row>31</xdr:row>
      <xdr:rowOff>196547</xdr:rowOff>
    </xdr:from>
    <xdr:to>
      <xdr:col>2</xdr:col>
      <xdr:colOff>604762</xdr:colOff>
      <xdr:row>33</xdr:row>
      <xdr:rowOff>158751</xdr:rowOff>
    </xdr:to>
    <xdr:cxnSp macro="">
      <xdr:nvCxnSpPr>
        <xdr:cNvPr id="17" name="Straight Arrow Connector 16">
          <a:extLst>
            <a:ext uri="{FF2B5EF4-FFF2-40B4-BE49-F238E27FC236}">
              <a16:creationId xmlns:a16="http://schemas.microsoft.com/office/drawing/2014/main" id="{091C938E-4345-CE43-A0EA-4B09AF8B096D}"/>
            </a:ext>
          </a:extLst>
        </xdr:cNvPr>
        <xdr:cNvCxnSpPr>
          <a:endCxn id="11" idx="0"/>
        </xdr:cNvCxnSpPr>
      </xdr:nvCxnSpPr>
      <xdr:spPr>
        <a:xfrm>
          <a:off x="13497968214" y="6614583"/>
          <a:ext cx="506490" cy="3704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30238</xdr:colOff>
      <xdr:row>35</xdr:row>
      <xdr:rowOff>60476</xdr:rowOff>
    </xdr:from>
    <xdr:to>
      <xdr:col>2</xdr:col>
      <xdr:colOff>37798</xdr:colOff>
      <xdr:row>37</xdr:row>
      <xdr:rowOff>98273</xdr:rowOff>
    </xdr:to>
    <xdr:cxnSp macro="">
      <xdr:nvCxnSpPr>
        <xdr:cNvPr id="20" name="Straight Arrow Connector 19">
          <a:extLst>
            <a:ext uri="{FF2B5EF4-FFF2-40B4-BE49-F238E27FC236}">
              <a16:creationId xmlns:a16="http://schemas.microsoft.com/office/drawing/2014/main" id="{D4E0D699-97D6-0ACD-71E1-9C7F22BE0DBC}"/>
            </a:ext>
          </a:extLst>
        </xdr:cNvPr>
        <xdr:cNvCxnSpPr/>
      </xdr:nvCxnSpPr>
      <xdr:spPr>
        <a:xfrm>
          <a:off x="13498535178" y="7294940"/>
          <a:ext cx="7560" cy="44601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98273</xdr:colOff>
      <xdr:row>37</xdr:row>
      <xdr:rowOff>105834</xdr:rowOff>
    </xdr:from>
    <xdr:to>
      <xdr:col>2</xdr:col>
      <xdr:colOff>695475</xdr:colOff>
      <xdr:row>40</xdr:row>
      <xdr:rowOff>151191</xdr:rowOff>
    </xdr:to>
    <xdr:sp macro="" textlink="">
      <xdr:nvSpPr>
        <xdr:cNvPr id="22" name="Rectangle 21">
          <a:extLst>
            <a:ext uri="{FF2B5EF4-FFF2-40B4-BE49-F238E27FC236}">
              <a16:creationId xmlns:a16="http://schemas.microsoft.com/office/drawing/2014/main" id="{6DC5DF65-7EC7-7D81-4973-3A4BA844FBB2}"/>
            </a:ext>
          </a:extLst>
        </xdr:cNvPr>
        <xdr:cNvSpPr/>
      </xdr:nvSpPr>
      <xdr:spPr>
        <a:xfrm>
          <a:off x="13497877501" y="7748513"/>
          <a:ext cx="1421190" cy="6576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קיימים באג״ח תשלומי קופון רבים?</a:t>
          </a:r>
          <a:endParaRPr lang="en-US" sz="1100"/>
        </a:p>
      </xdr:txBody>
    </xdr:sp>
    <xdr:clientData/>
  </xdr:twoCellAnchor>
  <xdr:twoCellAnchor>
    <xdr:from>
      <xdr:col>2</xdr:col>
      <xdr:colOff>22679</xdr:colOff>
      <xdr:row>40</xdr:row>
      <xdr:rowOff>143631</xdr:rowOff>
    </xdr:from>
    <xdr:to>
      <xdr:col>2</xdr:col>
      <xdr:colOff>619881</xdr:colOff>
      <xdr:row>43</xdr:row>
      <xdr:rowOff>90715</xdr:rowOff>
    </xdr:to>
    <xdr:cxnSp macro="">
      <xdr:nvCxnSpPr>
        <xdr:cNvPr id="23" name="Straight Arrow Connector 22">
          <a:extLst>
            <a:ext uri="{FF2B5EF4-FFF2-40B4-BE49-F238E27FC236}">
              <a16:creationId xmlns:a16="http://schemas.microsoft.com/office/drawing/2014/main" id="{3CC44A18-2FC4-7E0C-069F-FB1B008458BB}"/>
            </a:ext>
          </a:extLst>
        </xdr:cNvPr>
        <xdr:cNvCxnSpPr/>
      </xdr:nvCxnSpPr>
      <xdr:spPr>
        <a:xfrm flipH="1">
          <a:off x="13497953095" y="8398631"/>
          <a:ext cx="597202" cy="5594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544286</xdr:colOff>
      <xdr:row>43</xdr:row>
      <xdr:rowOff>113394</xdr:rowOff>
    </xdr:from>
    <xdr:to>
      <xdr:col>3</xdr:col>
      <xdr:colOff>491369</xdr:colOff>
      <xdr:row>44</xdr:row>
      <xdr:rowOff>196547</xdr:rowOff>
    </xdr:to>
    <xdr:sp macro="" textlink="">
      <xdr:nvSpPr>
        <xdr:cNvPr id="25" name="Rectangle 24">
          <a:extLst>
            <a:ext uri="{FF2B5EF4-FFF2-40B4-BE49-F238E27FC236}">
              <a16:creationId xmlns:a16="http://schemas.microsoft.com/office/drawing/2014/main" id="{B9464E3A-D453-5BA6-FE6D-AE1121F118B9}"/>
            </a:ext>
          </a:extLst>
        </xdr:cNvPr>
        <xdr:cNvSpPr/>
      </xdr:nvSpPr>
      <xdr:spPr>
        <a:xfrm>
          <a:off x="13497257619" y="8980715"/>
          <a:ext cx="771071" cy="2872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כן</a:t>
          </a:r>
          <a:endParaRPr lang="en-US" sz="1100"/>
        </a:p>
      </xdr:txBody>
    </xdr:sp>
    <xdr:clientData/>
  </xdr:twoCellAnchor>
  <xdr:twoCellAnchor>
    <xdr:from>
      <xdr:col>0</xdr:col>
      <xdr:colOff>309939</xdr:colOff>
      <xdr:row>43</xdr:row>
      <xdr:rowOff>90716</xdr:rowOff>
    </xdr:from>
    <xdr:to>
      <xdr:col>1</xdr:col>
      <xdr:colOff>226783</xdr:colOff>
      <xdr:row>44</xdr:row>
      <xdr:rowOff>196547</xdr:rowOff>
    </xdr:to>
    <xdr:sp macro="" textlink="">
      <xdr:nvSpPr>
        <xdr:cNvPr id="26" name="Rectangle 25">
          <a:extLst>
            <a:ext uri="{FF2B5EF4-FFF2-40B4-BE49-F238E27FC236}">
              <a16:creationId xmlns:a16="http://schemas.microsoft.com/office/drawing/2014/main" id="{F4F2D58F-07A8-9E61-3B7B-CFEB77F3C800}"/>
            </a:ext>
          </a:extLst>
        </xdr:cNvPr>
        <xdr:cNvSpPr/>
      </xdr:nvSpPr>
      <xdr:spPr>
        <a:xfrm>
          <a:off x="13499170181" y="8958037"/>
          <a:ext cx="740832" cy="30993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a:t>
          </a:r>
          <a:endParaRPr lang="en-US" sz="1100"/>
        </a:p>
      </xdr:txBody>
    </xdr:sp>
    <xdr:clientData/>
  </xdr:twoCellAnchor>
  <xdr:twoCellAnchor>
    <xdr:from>
      <xdr:col>0</xdr:col>
      <xdr:colOff>816429</xdr:colOff>
      <xdr:row>40</xdr:row>
      <xdr:rowOff>151191</xdr:rowOff>
    </xdr:from>
    <xdr:to>
      <xdr:col>1</xdr:col>
      <xdr:colOff>808868</xdr:colOff>
      <xdr:row>43</xdr:row>
      <xdr:rowOff>75596</xdr:rowOff>
    </xdr:to>
    <xdr:cxnSp macro="">
      <xdr:nvCxnSpPr>
        <xdr:cNvPr id="27" name="Straight Arrow Connector 26">
          <a:extLst>
            <a:ext uri="{FF2B5EF4-FFF2-40B4-BE49-F238E27FC236}">
              <a16:creationId xmlns:a16="http://schemas.microsoft.com/office/drawing/2014/main" id="{E6F8A47A-FE3B-B43F-9662-B40E5E2560A4}"/>
            </a:ext>
          </a:extLst>
        </xdr:cNvPr>
        <xdr:cNvCxnSpPr>
          <a:stCxn id="22" idx="2"/>
        </xdr:cNvCxnSpPr>
      </xdr:nvCxnSpPr>
      <xdr:spPr>
        <a:xfrm>
          <a:off x="13498588096" y="8406191"/>
          <a:ext cx="816427" cy="5367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665237</xdr:colOff>
      <xdr:row>44</xdr:row>
      <xdr:rowOff>188988</xdr:rowOff>
    </xdr:from>
    <xdr:to>
      <xdr:col>0</xdr:col>
      <xdr:colOff>665238</xdr:colOff>
      <xdr:row>47</xdr:row>
      <xdr:rowOff>196548</xdr:rowOff>
    </xdr:to>
    <xdr:cxnSp macro="">
      <xdr:nvCxnSpPr>
        <xdr:cNvPr id="29" name="Straight Arrow Connector 28">
          <a:extLst>
            <a:ext uri="{FF2B5EF4-FFF2-40B4-BE49-F238E27FC236}">
              <a16:creationId xmlns:a16="http://schemas.microsoft.com/office/drawing/2014/main" id="{DB34B337-7C47-9883-F030-BAC688D57378}"/>
            </a:ext>
          </a:extLst>
        </xdr:cNvPr>
        <xdr:cNvCxnSpPr/>
      </xdr:nvCxnSpPr>
      <xdr:spPr>
        <a:xfrm flipH="1">
          <a:off x="13499555714" y="9260417"/>
          <a:ext cx="1" cy="6198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158750</xdr:colOff>
      <xdr:row>48</xdr:row>
      <xdr:rowOff>30239</xdr:rowOff>
    </xdr:from>
    <xdr:to>
      <xdr:col>1</xdr:col>
      <xdr:colOff>476251</xdr:colOff>
      <xdr:row>52</xdr:row>
      <xdr:rowOff>60476</xdr:rowOff>
    </xdr:to>
    <xdr:sp macro="" textlink="">
      <xdr:nvSpPr>
        <xdr:cNvPr id="31" name="Rectangle 30">
          <a:extLst>
            <a:ext uri="{FF2B5EF4-FFF2-40B4-BE49-F238E27FC236}">
              <a16:creationId xmlns:a16="http://schemas.microsoft.com/office/drawing/2014/main" id="{80D66347-8FAE-ECB4-F3F9-F30EA30EFA5E}"/>
            </a:ext>
          </a:extLst>
        </xdr:cNvPr>
        <xdr:cNvSpPr/>
      </xdr:nvSpPr>
      <xdr:spPr>
        <a:xfrm>
          <a:off x="13498920713" y="9918096"/>
          <a:ext cx="1141489" cy="8466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מה שאתם מעדיפים: </a:t>
          </a:r>
          <a:r>
            <a:rPr lang="en-US" sz="1100"/>
            <a:t>PV</a:t>
          </a:r>
          <a:r>
            <a:rPr lang="he-IL" sz="1100"/>
            <a:t> או </a:t>
          </a:r>
          <a:r>
            <a:rPr lang="en-US" sz="1100"/>
            <a:t>NPV</a:t>
          </a:r>
        </a:p>
        <a:p>
          <a:pPr algn="ctr" rtl="1"/>
          <a:r>
            <a:rPr lang="he-IL" sz="1100"/>
            <a:t>שי</a:t>
          </a:r>
          <a:r>
            <a:rPr lang="he-IL" sz="1100" baseline="0"/>
            <a:t> מעדיף </a:t>
          </a:r>
          <a:r>
            <a:rPr lang="en-US" sz="1100" baseline="0"/>
            <a:t>PV</a:t>
          </a:r>
          <a:endParaRPr lang="en-US" sz="1100"/>
        </a:p>
      </xdr:txBody>
    </xdr:sp>
    <xdr:clientData/>
  </xdr:twoCellAnchor>
  <xdr:twoCellAnchor>
    <xdr:from>
      <xdr:col>2</xdr:col>
      <xdr:colOff>362856</xdr:colOff>
      <xdr:row>48</xdr:row>
      <xdr:rowOff>1</xdr:rowOff>
    </xdr:from>
    <xdr:to>
      <xdr:col>3</xdr:col>
      <xdr:colOff>695476</xdr:colOff>
      <xdr:row>51</xdr:row>
      <xdr:rowOff>22678</xdr:rowOff>
    </xdr:to>
    <xdr:sp macro="" textlink="">
      <xdr:nvSpPr>
        <xdr:cNvPr id="32" name="Rectangle 31">
          <a:extLst>
            <a:ext uri="{FF2B5EF4-FFF2-40B4-BE49-F238E27FC236}">
              <a16:creationId xmlns:a16="http://schemas.microsoft.com/office/drawing/2014/main" id="{A59E9047-1104-2F71-BADB-28829023566D}"/>
            </a:ext>
          </a:extLst>
        </xdr:cNvPr>
        <xdr:cNvSpPr/>
      </xdr:nvSpPr>
      <xdr:spPr>
        <a:xfrm>
          <a:off x="13497053512" y="9887858"/>
          <a:ext cx="1156608" cy="63499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PV</a:t>
          </a:r>
        </a:p>
      </xdr:txBody>
    </xdr:sp>
    <xdr:clientData/>
  </xdr:twoCellAnchor>
  <xdr:twoCellAnchor>
    <xdr:from>
      <xdr:col>3</xdr:col>
      <xdr:colOff>83154</xdr:colOff>
      <xdr:row>44</xdr:row>
      <xdr:rowOff>196548</xdr:rowOff>
    </xdr:from>
    <xdr:to>
      <xdr:col>3</xdr:col>
      <xdr:colOff>83155</xdr:colOff>
      <xdr:row>48</xdr:row>
      <xdr:rowOff>1</xdr:rowOff>
    </xdr:to>
    <xdr:cxnSp macro="">
      <xdr:nvCxnSpPr>
        <xdr:cNvPr id="33" name="Straight Arrow Connector 32">
          <a:extLst>
            <a:ext uri="{FF2B5EF4-FFF2-40B4-BE49-F238E27FC236}">
              <a16:creationId xmlns:a16="http://schemas.microsoft.com/office/drawing/2014/main" id="{29BA316B-5EC8-7141-B023-B318C88B16F5}"/>
            </a:ext>
          </a:extLst>
        </xdr:cNvPr>
        <xdr:cNvCxnSpPr/>
      </xdr:nvCxnSpPr>
      <xdr:spPr>
        <a:xfrm flipH="1">
          <a:off x="13497665833" y="9267977"/>
          <a:ext cx="1" cy="6198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754192</xdr:colOff>
      <xdr:row>27</xdr:row>
      <xdr:rowOff>23941</xdr:rowOff>
    </xdr:from>
    <xdr:to>
      <xdr:col>11</xdr:col>
      <xdr:colOff>499383</xdr:colOff>
      <xdr:row>51</xdr:row>
      <xdr:rowOff>187342</xdr:rowOff>
    </xdr:to>
    <xdr:sp macro="" textlink="">
      <xdr:nvSpPr>
        <xdr:cNvPr id="34" name="Heart 33">
          <a:extLst>
            <a:ext uri="{FF2B5EF4-FFF2-40B4-BE49-F238E27FC236}">
              <a16:creationId xmlns:a16="http://schemas.microsoft.com/office/drawing/2014/main" id="{772084DE-5990-2C67-E5CD-379BE8FFD0F7}"/>
            </a:ext>
          </a:extLst>
        </xdr:cNvPr>
        <xdr:cNvSpPr/>
      </xdr:nvSpPr>
      <xdr:spPr>
        <a:xfrm>
          <a:off x="13727386830" y="5576595"/>
          <a:ext cx="4775871" cy="4996799"/>
        </a:xfrm>
        <a:prstGeom prst="heart">
          <a:avLst/>
        </a:prstGeom>
        <a:solidFill>
          <a:srgbClr val="FF40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600"/>
            <a:t>ברקע: תמיד מהוונים בשיעור תשואה לפדיון</a:t>
          </a:r>
        </a:p>
        <a:p>
          <a:pPr algn="ctr" rtl="1"/>
          <a:r>
            <a:rPr lang="he-IL" sz="1600"/>
            <a:t>אם נדרש להמירו מתקופה לתקופה משתמשים בנוסחת הריבית האפקטיבית</a:t>
          </a:r>
          <a:r>
            <a:rPr lang="he-IL" sz="1600" baseline="0"/>
            <a:t> (חזקה)</a:t>
          </a:r>
          <a:r>
            <a:rPr lang="he-IL" sz="1600"/>
            <a:t>. </a:t>
          </a:r>
        </a:p>
        <a:p>
          <a:pPr algn="ctr" rtl="1"/>
          <a:r>
            <a:rPr lang="he-IL" sz="1600"/>
            <a:t>תמיד מחשבים קופון לפי ריבית נקובה. אם נדרש להמירה מתקופה לתקופה פשוט מחלקים</a:t>
          </a:r>
          <a:endParaRPr lang="en-US" sz="1600"/>
        </a:p>
      </xdr:txBody>
    </xdr:sp>
    <xdr:clientData/>
  </xdr:twoCellAnchor>
  <xdr:oneCellAnchor>
    <xdr:from>
      <xdr:col>1</xdr:col>
      <xdr:colOff>950247</xdr:colOff>
      <xdr:row>94</xdr:row>
      <xdr:rowOff>51050</xdr:rowOff>
    </xdr:from>
    <xdr:ext cx="3650044" cy="177741"/>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CB47E847-23E1-F417-C38E-232EE537ED55}"/>
                </a:ext>
              </a:extLst>
            </xdr:cNvPr>
            <xdr:cNvSpPr txBox="1"/>
          </xdr:nvSpPr>
          <xdr:spPr>
            <a:xfrm>
              <a:off x="13718902616" y="19006476"/>
              <a:ext cx="3650044"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𝑟𝑎𝑡𝑒</m:t>
                    </m:r>
                    <m:d>
                      <m:dPr>
                        <m:ctrlPr>
                          <a:rPr lang="en-US" sz="1100" b="0" i="1">
                            <a:latin typeface="Cambria Math" panose="02040503050406030204" pitchFamily="18" charset="0"/>
                          </a:rPr>
                        </m:ctrlPr>
                      </m:dPr>
                      <m:e>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𝑟𝑎𝑡</m:t>
                            </m:r>
                            <m:sSub>
                              <m:sSubPr>
                                <m:ctrlPr>
                                  <a:rPr lang="en-US" sz="1100" b="0" i="1">
                                    <a:latin typeface="Cambria Math" panose="02040503050406030204" pitchFamily="18" charset="0"/>
                                  </a:rPr>
                                </m:ctrlPr>
                              </m:sSubPr>
                              <m:e>
                                <m:r>
                                  <a:rPr lang="en-US" sz="1100" b="0" i="1">
                                    <a:latin typeface="Cambria Math" panose="02040503050406030204" pitchFamily="18" charset="0"/>
                                  </a:rPr>
                                  <m:t>𝑒</m:t>
                                </m:r>
                              </m:e>
                              <m:sub>
                                <m:r>
                                  <a:rPr lang="en-US" sz="1100" b="0" i="1">
                                    <a:latin typeface="Cambria Math" panose="02040503050406030204" pitchFamily="18" charset="0"/>
                                  </a:rPr>
                                  <m:t>𝑆h𝑎𝑛𝑎</m:t>
                                </m:r>
                              </m:sub>
                            </m:sSub>
                          </m:e>
                        </m:d>
                      </m:e>
                      <m:sup>
                        <m:r>
                          <a:rPr lang="en-US" sz="1100" b="0" i="1">
                            <a:latin typeface="Cambria Math" panose="02040503050406030204" pitchFamily="18" charset="0"/>
                          </a:rPr>
                          <m:t>0.5</m:t>
                        </m:r>
                      </m:sup>
                    </m:sSup>
                    <m:r>
                      <a:rPr lang="en-US" sz="1100" b="0" i="1">
                        <a:latin typeface="Cambria Math" panose="02040503050406030204" pitchFamily="18" charset="0"/>
                      </a:rPr>
                      <m:t>−1 </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CB47E847-23E1-F417-C38E-232EE537ED55}"/>
                </a:ext>
              </a:extLst>
            </xdr:cNvPr>
            <xdr:cNvSpPr txBox="1"/>
          </xdr:nvSpPr>
          <xdr:spPr>
            <a:xfrm>
              <a:off x="13718902616" y="19006476"/>
              <a:ext cx="3650044"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𝑟𝑎𝑡𝑒(ℎ𝑎𝑧𝑖 𝑠ℎ𝑎𝑛𝑎)=(1+𝑟𝑎𝑡𝑒_𝑆ℎ𝑎𝑛𝑎 )^0.5−1 </a:t>
              </a:r>
              <a:endParaRPr lang="en-US" sz="1100"/>
            </a:p>
          </xdr:txBody>
        </xdr:sp>
      </mc:Fallback>
    </mc:AlternateContent>
    <xdr:clientData/>
  </xdr:oneCellAnchor>
  <xdr:twoCellAnchor>
    <xdr:from>
      <xdr:col>4</xdr:col>
      <xdr:colOff>785994</xdr:colOff>
      <xdr:row>204</xdr:row>
      <xdr:rowOff>115831</xdr:rowOff>
    </xdr:from>
    <xdr:to>
      <xdr:col>5</xdr:col>
      <xdr:colOff>275916</xdr:colOff>
      <xdr:row>205</xdr:row>
      <xdr:rowOff>132378</xdr:rowOff>
    </xdr:to>
    <xdr:sp macro="" textlink="">
      <xdr:nvSpPr>
        <xdr:cNvPr id="30" name="Freeform 29">
          <a:extLst>
            <a:ext uri="{FF2B5EF4-FFF2-40B4-BE49-F238E27FC236}">
              <a16:creationId xmlns:a16="http://schemas.microsoft.com/office/drawing/2014/main" id="{ECAE41A7-AFFB-F7FA-8DF0-A54A4E313D2E}"/>
            </a:ext>
          </a:extLst>
        </xdr:cNvPr>
        <xdr:cNvSpPr/>
      </xdr:nvSpPr>
      <xdr:spPr>
        <a:xfrm>
          <a:off x="13754349459" y="39841596"/>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773583</xdr:colOff>
      <xdr:row>241</xdr:row>
      <xdr:rowOff>74463</xdr:rowOff>
    </xdr:from>
    <xdr:to>
      <xdr:col>5</xdr:col>
      <xdr:colOff>263505</xdr:colOff>
      <xdr:row>242</xdr:row>
      <xdr:rowOff>91010</xdr:rowOff>
    </xdr:to>
    <xdr:sp macro="" textlink="">
      <xdr:nvSpPr>
        <xdr:cNvPr id="37" name="Freeform 36">
          <a:extLst>
            <a:ext uri="{FF2B5EF4-FFF2-40B4-BE49-F238E27FC236}">
              <a16:creationId xmlns:a16="http://schemas.microsoft.com/office/drawing/2014/main" id="{693B32BC-B9EE-BF4A-854D-4712ADA4F8E7}"/>
            </a:ext>
          </a:extLst>
        </xdr:cNvPr>
        <xdr:cNvSpPr/>
      </xdr:nvSpPr>
      <xdr:spPr>
        <a:xfrm>
          <a:off x="13754361870" y="47399544"/>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728079</xdr:colOff>
      <xdr:row>258</xdr:row>
      <xdr:rowOff>99284</xdr:rowOff>
    </xdr:from>
    <xdr:to>
      <xdr:col>5</xdr:col>
      <xdr:colOff>218001</xdr:colOff>
      <xdr:row>259</xdr:row>
      <xdr:rowOff>115831</xdr:rowOff>
    </xdr:to>
    <xdr:sp macro="" textlink="">
      <xdr:nvSpPr>
        <xdr:cNvPr id="38" name="Freeform 37">
          <a:extLst>
            <a:ext uri="{FF2B5EF4-FFF2-40B4-BE49-F238E27FC236}">
              <a16:creationId xmlns:a16="http://schemas.microsoft.com/office/drawing/2014/main" id="{12EF86C1-4DB9-BE41-9031-D594C1049DA8}"/>
            </a:ext>
          </a:extLst>
        </xdr:cNvPr>
        <xdr:cNvSpPr/>
      </xdr:nvSpPr>
      <xdr:spPr>
        <a:xfrm>
          <a:off x="13754407374" y="50895147"/>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608112</xdr:colOff>
      <xdr:row>258</xdr:row>
      <xdr:rowOff>78600</xdr:rowOff>
    </xdr:from>
    <xdr:to>
      <xdr:col>1</xdr:col>
      <xdr:colOff>937806</xdr:colOff>
      <xdr:row>259</xdr:row>
      <xdr:rowOff>95147</xdr:rowOff>
    </xdr:to>
    <xdr:sp macro="" textlink="">
      <xdr:nvSpPr>
        <xdr:cNvPr id="39" name="Freeform 38">
          <a:extLst>
            <a:ext uri="{FF2B5EF4-FFF2-40B4-BE49-F238E27FC236}">
              <a16:creationId xmlns:a16="http://schemas.microsoft.com/office/drawing/2014/main" id="{AB17401A-EA5C-C7AD-02C0-B2CA4EA6B4F4}"/>
            </a:ext>
          </a:extLst>
        </xdr:cNvPr>
        <xdr:cNvSpPr/>
      </xdr:nvSpPr>
      <xdr:spPr>
        <a:xfrm rot="10125826">
          <a:off x="13757170761" y="50874463"/>
          <a:ext cx="329694" cy="219251"/>
        </a:xfrm>
        <a:custGeom>
          <a:avLst/>
          <a:gdLst>
            <a:gd name="connsiteX0" fmla="*/ 329694 w 329694"/>
            <a:gd name="connsiteY0" fmla="*/ 219251 h 219251"/>
            <a:gd name="connsiteX1" fmla="*/ 2886 w 329694"/>
            <a:gd name="connsiteY1" fmla="*/ 74463 h 219251"/>
            <a:gd name="connsiteX2" fmla="*/ 197316 w 329694"/>
            <a:gd name="connsiteY2" fmla="*/ 0 h 219251"/>
          </a:gdLst>
          <a:ahLst/>
          <a:cxnLst>
            <a:cxn ang="0">
              <a:pos x="connsiteX0" y="connsiteY0"/>
            </a:cxn>
            <a:cxn ang="0">
              <a:pos x="connsiteX1" y="connsiteY1"/>
            </a:cxn>
            <a:cxn ang="0">
              <a:pos x="connsiteX2" y="connsiteY2"/>
            </a:cxn>
          </a:cxnLst>
          <a:rect l="l" t="t" r="r" b="b"/>
          <a:pathLst>
            <a:path w="329694" h="219251">
              <a:moveTo>
                <a:pt x="329694" y="219251"/>
              </a:moveTo>
              <a:cubicBezTo>
                <a:pt x="177321" y="165128"/>
                <a:pt x="24949" y="111005"/>
                <a:pt x="2886" y="74463"/>
              </a:cubicBezTo>
              <a:cubicBezTo>
                <a:pt x="-19177" y="37921"/>
                <a:pt x="89069" y="18960"/>
                <a:pt x="197316"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306124</xdr:colOff>
      <xdr:row>269</xdr:row>
      <xdr:rowOff>169609</xdr:rowOff>
    </xdr:from>
    <xdr:ext cx="1055379" cy="1633155"/>
    <xdr:pic>
      <xdr:nvPicPr>
        <xdr:cNvPr id="41" name="Picture 40" descr="Happy cute smiling funny egg. flat cartoon character ...">
          <a:extLst>
            <a:ext uri="{FF2B5EF4-FFF2-40B4-BE49-F238E27FC236}">
              <a16:creationId xmlns:a16="http://schemas.microsoft.com/office/drawing/2014/main" id="{0305BF72-4F0E-7841-AD54-0133722DB94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52424100" y="53195212"/>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57917</xdr:colOff>
      <xdr:row>269</xdr:row>
      <xdr:rowOff>182018</xdr:rowOff>
    </xdr:from>
    <xdr:to>
      <xdr:col>6</xdr:col>
      <xdr:colOff>144790</xdr:colOff>
      <xdr:row>274</xdr:row>
      <xdr:rowOff>182020</xdr:rowOff>
    </xdr:to>
    <xdr:sp macro="" textlink="">
      <xdr:nvSpPr>
        <xdr:cNvPr id="42" name="Rectangular Callout 41">
          <a:extLst>
            <a:ext uri="{FF2B5EF4-FFF2-40B4-BE49-F238E27FC236}">
              <a16:creationId xmlns:a16="http://schemas.microsoft.com/office/drawing/2014/main" id="{6B3CE484-AA3E-62A8-E871-20D60A3517A7}"/>
            </a:ext>
          </a:extLst>
        </xdr:cNvPr>
        <xdr:cNvSpPr/>
      </xdr:nvSpPr>
      <xdr:spPr>
        <a:xfrm>
          <a:off x="13753640813" y="53207621"/>
          <a:ext cx="5249609" cy="1013520"/>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בחישובי אג״ח </a:t>
          </a:r>
          <a:r>
            <a:rPr lang="he-IL" sz="1100" baseline="0">
              <a:latin typeface="David" panose="020E0502060401010101" pitchFamily="34" charset="-79"/>
              <a:cs typeface="David" panose="020E0502060401010101" pitchFamily="34" charset="-79"/>
            </a:rPr>
            <a:t>שבה קיים פירעון בתשלומים:</a:t>
          </a:r>
        </a:p>
        <a:p>
          <a:pPr algn="r" rtl="1"/>
          <a:r>
            <a:rPr lang="he-IL" sz="1100" baseline="0">
              <a:latin typeface="David" panose="020E0502060401010101" pitchFamily="34" charset="-79"/>
              <a:cs typeface="David" panose="020E0502060401010101" pitchFamily="34" charset="-79"/>
            </a:rPr>
            <a:t>א. אני בונה ״לוח סילוקין״ לפי תאריכים עם פירוט התזרימים.</a:t>
          </a:r>
        </a:p>
        <a:p>
          <a:pPr algn="r" rtl="1"/>
          <a:r>
            <a:rPr lang="he-IL" sz="1100" baseline="0">
              <a:latin typeface="David" panose="020E0502060401010101" pitchFamily="34" charset="-79"/>
              <a:cs typeface="David" panose="020E0502060401010101" pitchFamily="34" charset="-79"/>
            </a:rPr>
            <a:t>ב. אני מסמן בצורה ברורה איפה ״אני נמצא״ (על איזה תאריך שואלים). </a:t>
          </a:r>
        </a:p>
        <a:p>
          <a:pPr algn="r" rtl="1"/>
          <a:r>
            <a:rPr lang="he-IL" sz="1100" baseline="0">
              <a:latin typeface="David" panose="020E0502060401010101" pitchFamily="34" charset="-79"/>
              <a:cs typeface="David" panose="020E0502060401010101" pitchFamily="34" charset="-79"/>
            </a:rPr>
            <a:t>ג. אני דואג למחוק (להשחיר) תזרימים היסטוריים (שכבר היו בעבר). </a:t>
          </a:r>
        </a:p>
        <a:p>
          <a:pPr algn="r" rtl="1"/>
          <a:r>
            <a:rPr lang="he-IL" sz="1100" baseline="0">
              <a:latin typeface="David" panose="020E0502060401010101" pitchFamily="34" charset="-79"/>
              <a:cs typeface="David" panose="020E0502060401010101" pitchFamily="34" charset="-79"/>
            </a:rPr>
            <a:t>ד. נפעיל </a:t>
          </a:r>
          <a:r>
            <a:rPr lang="en-US" sz="1100" baseline="0">
              <a:latin typeface="David" panose="020E0502060401010101" pitchFamily="34" charset="-79"/>
              <a:cs typeface="David" panose="020E0502060401010101" pitchFamily="34" charset="-79"/>
            </a:rPr>
            <a:t>NPV</a:t>
          </a:r>
          <a:r>
            <a:rPr lang="he-IL" sz="1100" baseline="0">
              <a:latin typeface="David" panose="020E0502060401010101" pitchFamily="34" charset="-79"/>
              <a:cs typeface="David" panose="020E0502060401010101" pitchFamily="34" charset="-79"/>
            </a:rPr>
            <a:t> רק על יתר התזרימים</a:t>
          </a:r>
        </a:p>
        <a:p>
          <a:pPr algn="r" rtl="1"/>
          <a:r>
            <a:rPr lang="he-IL" sz="1100" baseline="0">
              <a:latin typeface="David" panose="020E0502060401010101" pitchFamily="34" charset="-79"/>
              <a:cs typeface="David" panose="020E0502060401010101" pitchFamily="34" charset="-79"/>
            </a:rPr>
            <a:t>ה. אני זוכר שהחישוב מקפיץ ״אחת אחורה״ ומתקן לפי הצורך לתאריך הנדרש בשאלה.</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8</xdr:col>
      <xdr:colOff>500554</xdr:colOff>
      <xdr:row>269</xdr:row>
      <xdr:rowOff>120587</xdr:rowOff>
    </xdr:from>
    <xdr:to>
      <xdr:col>10</xdr:col>
      <xdr:colOff>373306</xdr:colOff>
      <xdr:row>277</xdr:row>
      <xdr:rowOff>221955</xdr:rowOff>
    </xdr:to>
    <xdr:pic>
      <xdr:nvPicPr>
        <xdr:cNvPr id="43" name="Picture 42">
          <a:extLst>
            <a:ext uri="{FF2B5EF4-FFF2-40B4-BE49-F238E27FC236}">
              <a16:creationId xmlns:a16="http://schemas.microsoft.com/office/drawing/2014/main" id="{0098C7BD-7EC0-39C0-4AC0-90F385033BFE}"/>
            </a:ext>
          </a:extLst>
        </xdr:cNvPr>
        <xdr:cNvPicPr>
          <a:picLocks noChangeAspect="1"/>
        </xdr:cNvPicPr>
      </xdr:nvPicPr>
      <xdr:blipFill>
        <a:blip xmlns:r="http://schemas.openxmlformats.org/officeDocument/2006/relationships" r:embed="rId2"/>
        <a:stretch>
          <a:fillRect/>
        </a:stretch>
      </xdr:blipFill>
      <xdr:spPr>
        <a:xfrm>
          <a:off x="13750053209" y="53146190"/>
          <a:ext cx="1552296" cy="1721531"/>
        </a:xfrm>
        <a:prstGeom prst="rect">
          <a:avLst/>
        </a:prstGeom>
      </xdr:spPr>
    </xdr:pic>
    <xdr:clientData/>
  </xdr:twoCellAnchor>
  <xdr:twoCellAnchor>
    <xdr:from>
      <xdr:col>6</xdr:col>
      <xdr:colOff>19050</xdr:colOff>
      <xdr:row>114</xdr:row>
      <xdr:rowOff>123825</xdr:rowOff>
    </xdr:from>
    <xdr:to>
      <xdr:col>6</xdr:col>
      <xdr:colOff>215908</xdr:colOff>
      <xdr:row>116</xdr:row>
      <xdr:rowOff>114300</xdr:rowOff>
    </xdr:to>
    <xdr:sp macro="" textlink="">
      <xdr:nvSpPr>
        <xdr:cNvPr id="4" name="Freeform 3">
          <a:extLst>
            <a:ext uri="{FF2B5EF4-FFF2-40B4-BE49-F238E27FC236}">
              <a16:creationId xmlns:a16="http://schemas.microsoft.com/office/drawing/2014/main" id="{4AEE902F-D388-45D5-27F2-EE0262F7D95A}"/>
            </a:ext>
          </a:extLst>
        </xdr:cNvPr>
        <xdr:cNvSpPr/>
      </xdr:nvSpPr>
      <xdr:spPr>
        <a:xfrm>
          <a:off x="13727823692" y="23415625"/>
          <a:ext cx="196858" cy="422275"/>
        </a:xfrm>
        <a:custGeom>
          <a:avLst/>
          <a:gdLst>
            <a:gd name="connsiteX0" fmla="*/ 190508 w 196858"/>
            <a:gd name="connsiteY0" fmla="*/ 422275 h 422275"/>
            <a:gd name="connsiteX1" fmla="*/ 8 w 196858"/>
            <a:gd name="connsiteY1" fmla="*/ 104775 h 422275"/>
            <a:gd name="connsiteX2" fmla="*/ 196858 w 196858"/>
            <a:gd name="connsiteY2" fmla="*/ 0 h 422275"/>
          </a:gdLst>
          <a:ahLst/>
          <a:cxnLst>
            <a:cxn ang="0">
              <a:pos x="connsiteX0" y="connsiteY0"/>
            </a:cxn>
            <a:cxn ang="0">
              <a:pos x="connsiteX1" y="connsiteY1"/>
            </a:cxn>
            <a:cxn ang="0">
              <a:pos x="connsiteX2" y="connsiteY2"/>
            </a:cxn>
          </a:cxnLst>
          <a:rect l="l" t="t" r="r" b="b"/>
          <a:pathLst>
            <a:path w="196858" h="422275">
              <a:moveTo>
                <a:pt x="190508" y="422275"/>
              </a:moveTo>
              <a:cubicBezTo>
                <a:pt x="94729" y="298714"/>
                <a:pt x="-1050" y="175154"/>
                <a:pt x="8" y="104775"/>
              </a:cubicBezTo>
              <a:cubicBezTo>
                <a:pt x="1066" y="34396"/>
                <a:pt x="98962" y="17198"/>
                <a:pt x="196858" y="0"/>
              </a:cubicBezTo>
            </a:path>
          </a:pathLst>
        </a:custGeom>
        <a:ln>
          <a:headEnd type="none" w="med" len="med"/>
          <a:tailEnd type="arrow" w="med" len="med"/>
        </a:ln>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723900</xdr:colOff>
      <xdr:row>114</xdr:row>
      <xdr:rowOff>114300</xdr:rowOff>
    </xdr:from>
    <xdr:to>
      <xdr:col>5</xdr:col>
      <xdr:colOff>723900</xdr:colOff>
      <xdr:row>115</xdr:row>
      <xdr:rowOff>127000</xdr:rowOff>
    </xdr:to>
    <xdr:cxnSp macro="">
      <xdr:nvCxnSpPr>
        <xdr:cNvPr id="6" name="Straight Arrow Connector 5">
          <a:extLst>
            <a:ext uri="{FF2B5EF4-FFF2-40B4-BE49-F238E27FC236}">
              <a16:creationId xmlns:a16="http://schemas.microsoft.com/office/drawing/2014/main" id="{23B94FDE-8772-8773-FF6C-175C10777148}"/>
            </a:ext>
          </a:extLst>
        </xdr:cNvPr>
        <xdr:cNvCxnSpPr/>
      </xdr:nvCxnSpPr>
      <xdr:spPr>
        <a:xfrm>
          <a:off x="13728153900" y="23406100"/>
          <a:ext cx="0" cy="228600"/>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784225</xdr:colOff>
      <xdr:row>148</xdr:row>
      <xdr:rowOff>73025</xdr:rowOff>
    </xdr:from>
    <xdr:to>
      <xdr:col>6</xdr:col>
      <xdr:colOff>149279</xdr:colOff>
      <xdr:row>149</xdr:row>
      <xdr:rowOff>155575</xdr:rowOff>
    </xdr:to>
    <xdr:sp macro="" textlink="">
      <xdr:nvSpPr>
        <xdr:cNvPr id="7" name="Freeform 6">
          <a:extLst>
            <a:ext uri="{FF2B5EF4-FFF2-40B4-BE49-F238E27FC236}">
              <a16:creationId xmlns:a16="http://schemas.microsoft.com/office/drawing/2014/main" id="{000033BD-6D32-85F2-2673-35227B51F15C}"/>
            </a:ext>
          </a:extLst>
        </xdr:cNvPr>
        <xdr:cNvSpPr/>
      </xdr:nvSpPr>
      <xdr:spPr>
        <a:xfrm>
          <a:off x="13727890321" y="30349825"/>
          <a:ext cx="203254" cy="285750"/>
        </a:xfrm>
        <a:custGeom>
          <a:avLst/>
          <a:gdLst>
            <a:gd name="connsiteX0" fmla="*/ 187379 w 203254"/>
            <a:gd name="connsiteY0" fmla="*/ 285750 h 285750"/>
            <a:gd name="connsiteX1" fmla="*/ 54 w 203254"/>
            <a:gd name="connsiteY1" fmla="*/ 107950 h 285750"/>
            <a:gd name="connsiteX2" fmla="*/ 203254 w 203254"/>
            <a:gd name="connsiteY2" fmla="*/ 0 h 285750"/>
          </a:gdLst>
          <a:ahLst/>
          <a:cxnLst>
            <a:cxn ang="0">
              <a:pos x="connsiteX0" y="connsiteY0"/>
            </a:cxn>
            <a:cxn ang="0">
              <a:pos x="connsiteX1" y="connsiteY1"/>
            </a:cxn>
            <a:cxn ang="0">
              <a:pos x="connsiteX2" y="connsiteY2"/>
            </a:cxn>
          </a:cxnLst>
          <a:rect l="l" t="t" r="r" b="b"/>
          <a:pathLst>
            <a:path w="203254" h="285750">
              <a:moveTo>
                <a:pt x="187379" y="285750"/>
              </a:moveTo>
              <a:cubicBezTo>
                <a:pt x="92393" y="220662"/>
                <a:pt x="-2592" y="155575"/>
                <a:pt x="54" y="107950"/>
              </a:cubicBezTo>
              <a:cubicBezTo>
                <a:pt x="2700" y="60325"/>
                <a:pt x="102977" y="30162"/>
                <a:pt x="203254"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752475</xdr:colOff>
      <xdr:row>177</xdr:row>
      <xdr:rowOff>57150</xdr:rowOff>
    </xdr:from>
    <xdr:to>
      <xdr:col>6</xdr:col>
      <xdr:colOff>165127</xdr:colOff>
      <xdr:row>178</xdr:row>
      <xdr:rowOff>114300</xdr:rowOff>
    </xdr:to>
    <xdr:sp macro="" textlink="">
      <xdr:nvSpPr>
        <xdr:cNvPr id="8" name="Freeform 7">
          <a:extLst>
            <a:ext uri="{FF2B5EF4-FFF2-40B4-BE49-F238E27FC236}">
              <a16:creationId xmlns:a16="http://schemas.microsoft.com/office/drawing/2014/main" id="{25FE72AD-A4C6-9EBA-C955-E950C8841138}"/>
            </a:ext>
          </a:extLst>
        </xdr:cNvPr>
        <xdr:cNvSpPr/>
      </xdr:nvSpPr>
      <xdr:spPr>
        <a:xfrm>
          <a:off x="13727874473" y="36226750"/>
          <a:ext cx="250852" cy="260350"/>
        </a:xfrm>
        <a:custGeom>
          <a:avLst/>
          <a:gdLst>
            <a:gd name="connsiteX0" fmla="*/ 238152 w 250852"/>
            <a:gd name="connsiteY0" fmla="*/ 260350 h 260350"/>
            <a:gd name="connsiteX1" fmla="*/ 27 w 250852"/>
            <a:gd name="connsiteY1" fmla="*/ 95250 h 260350"/>
            <a:gd name="connsiteX2" fmla="*/ 250852 w 250852"/>
            <a:gd name="connsiteY2" fmla="*/ 0 h 260350"/>
          </a:gdLst>
          <a:ahLst/>
          <a:cxnLst>
            <a:cxn ang="0">
              <a:pos x="connsiteX0" y="connsiteY0"/>
            </a:cxn>
            <a:cxn ang="0">
              <a:pos x="connsiteX1" y="connsiteY1"/>
            </a:cxn>
            <a:cxn ang="0">
              <a:pos x="connsiteX2" y="connsiteY2"/>
            </a:cxn>
          </a:cxnLst>
          <a:rect l="l" t="t" r="r" b="b"/>
          <a:pathLst>
            <a:path w="250852" h="260350">
              <a:moveTo>
                <a:pt x="238152" y="260350"/>
              </a:moveTo>
              <a:cubicBezTo>
                <a:pt x="118031" y="199496"/>
                <a:pt x="-2090" y="138642"/>
                <a:pt x="27" y="95250"/>
              </a:cubicBezTo>
              <a:cubicBezTo>
                <a:pt x="2144" y="51858"/>
                <a:pt x="126498" y="25929"/>
                <a:pt x="250852"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647700</xdr:colOff>
      <xdr:row>177</xdr:row>
      <xdr:rowOff>50800</xdr:rowOff>
    </xdr:from>
    <xdr:to>
      <xdr:col>5</xdr:col>
      <xdr:colOff>647700</xdr:colOff>
      <xdr:row>178</xdr:row>
      <xdr:rowOff>152400</xdr:rowOff>
    </xdr:to>
    <xdr:cxnSp macro="">
      <xdr:nvCxnSpPr>
        <xdr:cNvPr id="19" name="Straight Arrow Connector 18">
          <a:extLst>
            <a:ext uri="{FF2B5EF4-FFF2-40B4-BE49-F238E27FC236}">
              <a16:creationId xmlns:a16="http://schemas.microsoft.com/office/drawing/2014/main" id="{CC2384B9-CD91-768C-5B56-960D983D5712}"/>
            </a:ext>
          </a:extLst>
        </xdr:cNvPr>
        <xdr:cNvCxnSpPr/>
      </xdr:nvCxnSpPr>
      <xdr:spPr>
        <a:xfrm>
          <a:off x="13728230100" y="36220400"/>
          <a:ext cx="0" cy="304800"/>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808790</xdr:colOff>
      <xdr:row>222</xdr:row>
      <xdr:rowOff>120316</xdr:rowOff>
    </xdr:from>
    <xdr:to>
      <xdr:col>5</xdr:col>
      <xdr:colOff>217238</xdr:colOff>
      <xdr:row>224</xdr:row>
      <xdr:rowOff>133685</xdr:rowOff>
    </xdr:to>
    <xdr:sp macro="" textlink="">
      <xdr:nvSpPr>
        <xdr:cNvPr id="24" name="Freeform 23">
          <a:extLst>
            <a:ext uri="{FF2B5EF4-FFF2-40B4-BE49-F238E27FC236}">
              <a16:creationId xmlns:a16="http://schemas.microsoft.com/office/drawing/2014/main" id="{0AB6A156-2E91-5018-9DBF-78AD6623BEE4}"/>
            </a:ext>
          </a:extLst>
        </xdr:cNvPr>
        <xdr:cNvSpPr/>
      </xdr:nvSpPr>
      <xdr:spPr>
        <a:xfrm>
          <a:off x="13739608631" y="45673211"/>
          <a:ext cx="247316" cy="447842"/>
        </a:xfrm>
        <a:custGeom>
          <a:avLst/>
          <a:gdLst>
            <a:gd name="connsiteX0" fmla="*/ 243974 w 247316"/>
            <a:gd name="connsiteY0" fmla="*/ 447842 h 447842"/>
            <a:gd name="connsiteX1" fmla="*/ 1 w 247316"/>
            <a:gd name="connsiteY1" fmla="*/ 187157 h 447842"/>
            <a:gd name="connsiteX2" fmla="*/ 247316 w 247316"/>
            <a:gd name="connsiteY2" fmla="*/ 0 h 447842"/>
          </a:gdLst>
          <a:ahLst/>
          <a:cxnLst>
            <a:cxn ang="0">
              <a:pos x="connsiteX0" y="connsiteY0"/>
            </a:cxn>
            <a:cxn ang="0">
              <a:pos x="connsiteX1" y="connsiteY1"/>
            </a:cxn>
            <a:cxn ang="0">
              <a:pos x="connsiteX2" y="connsiteY2"/>
            </a:cxn>
          </a:cxnLst>
          <a:rect l="l" t="t" r="r" b="b"/>
          <a:pathLst>
            <a:path w="247316" h="447842">
              <a:moveTo>
                <a:pt x="243974" y="447842"/>
              </a:moveTo>
              <a:cubicBezTo>
                <a:pt x="121709" y="354819"/>
                <a:pt x="-556" y="261797"/>
                <a:pt x="1" y="187157"/>
              </a:cubicBezTo>
              <a:cubicBezTo>
                <a:pt x="558" y="112517"/>
                <a:pt x="123937" y="56258"/>
                <a:pt x="247316" y="0"/>
              </a:cubicBezTo>
            </a:path>
          </a:pathLst>
        </a:cu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685132</xdr:colOff>
      <xdr:row>222</xdr:row>
      <xdr:rowOff>113631</xdr:rowOff>
    </xdr:from>
    <xdr:to>
      <xdr:col>4</xdr:col>
      <xdr:colOff>688474</xdr:colOff>
      <xdr:row>223</xdr:row>
      <xdr:rowOff>157079</xdr:rowOff>
    </xdr:to>
    <xdr:cxnSp macro="">
      <xdr:nvCxnSpPr>
        <xdr:cNvPr id="44" name="Straight Arrow Connector 43">
          <a:extLst>
            <a:ext uri="{FF2B5EF4-FFF2-40B4-BE49-F238E27FC236}">
              <a16:creationId xmlns:a16="http://schemas.microsoft.com/office/drawing/2014/main" id="{A2274E6F-C048-E10D-8E1B-A1BCF7C5D088}"/>
            </a:ext>
          </a:extLst>
        </xdr:cNvPr>
        <xdr:cNvCxnSpPr/>
      </xdr:nvCxnSpPr>
      <xdr:spPr>
        <a:xfrm flipH="1">
          <a:off x="13739976263" y="45666526"/>
          <a:ext cx="3342" cy="260685"/>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230444</xdr:colOff>
      <xdr:row>432</xdr:row>
      <xdr:rowOff>106106</xdr:rowOff>
    </xdr:from>
    <xdr:ext cx="2491059" cy="175369"/>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3407EF7A-64E6-7148-990F-9FFAFC463377}"/>
                </a:ext>
              </a:extLst>
            </xdr:cNvPr>
            <xdr:cNvSpPr txBox="1"/>
          </xdr:nvSpPr>
          <xdr:spPr>
            <a:xfrm>
              <a:off x="13727832697" y="30040006"/>
              <a:ext cx="24910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d>
                      <m:dPr>
                        <m:ctrlPr>
                          <a:rPr lang="en-US" sz="1100" b="0" i="1">
                            <a:latin typeface="Cambria Math" panose="02040503050406030204" pitchFamily="18" charset="0"/>
                          </a:rPr>
                        </m:ctrlPr>
                      </m:dPr>
                      <m:e>
                        <m:r>
                          <a:rPr lang="en-US" sz="1100" b="0" i="1">
                            <a:latin typeface="Cambria Math" panose="02040503050406030204" pitchFamily="18" charset="0"/>
                          </a:rPr>
                          <m:t>𝑠h𝑎𝑛𝑎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1+2.09%</m:t>
                            </m:r>
                          </m:e>
                        </m:d>
                      </m:e>
                      <m:sup>
                        <m:r>
                          <a:rPr lang="en-US" sz="1100" b="0" i="1">
                            <a:latin typeface="Cambria Math" panose="02040503050406030204" pitchFamily="18" charset="0"/>
                          </a:rPr>
                          <m:t>2</m:t>
                        </m:r>
                      </m:sup>
                    </m:sSup>
                    <m:r>
                      <a:rPr lang="en-US" sz="1100" b="0" i="1">
                        <a:latin typeface="Cambria Math" panose="02040503050406030204" pitchFamily="18" charset="0"/>
                      </a:rPr>
                      <m:t>−1=</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3407EF7A-64E6-7148-990F-9FFAFC463377}"/>
                </a:ext>
              </a:extLst>
            </xdr:cNvPr>
            <xdr:cNvSpPr txBox="1"/>
          </xdr:nvSpPr>
          <xdr:spPr>
            <a:xfrm>
              <a:off x="13727832697" y="30040006"/>
              <a:ext cx="2491059"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𝑟(𝑠ℎ𝑎𝑛𝑎)=(1+2.09%)^2−1=</a:t>
              </a:r>
              <a:endParaRPr lang="en-US"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twoCellAnchor>
    <xdr:from>
      <xdr:col>3</xdr:col>
      <xdr:colOff>14390</xdr:colOff>
      <xdr:row>280</xdr:row>
      <xdr:rowOff>118725</xdr:rowOff>
    </xdr:from>
    <xdr:to>
      <xdr:col>3</xdr:col>
      <xdr:colOff>172691</xdr:colOff>
      <xdr:row>286</xdr:row>
      <xdr:rowOff>68357</xdr:rowOff>
    </xdr:to>
    <xdr:sp macro="" textlink="">
      <xdr:nvSpPr>
        <xdr:cNvPr id="3" name="Left Brace 2">
          <a:extLst>
            <a:ext uri="{FF2B5EF4-FFF2-40B4-BE49-F238E27FC236}">
              <a16:creationId xmlns:a16="http://schemas.microsoft.com/office/drawing/2014/main" id="{CDE6B826-D68E-59C7-BB30-7FC33B44E6AA}"/>
            </a:ext>
          </a:extLst>
        </xdr:cNvPr>
        <xdr:cNvSpPr/>
      </xdr:nvSpPr>
      <xdr:spPr>
        <a:xfrm>
          <a:off x="13731560198" y="68576402"/>
          <a:ext cx="158301" cy="115847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175046</xdr:colOff>
      <xdr:row>48</xdr:row>
      <xdr:rowOff>8343</xdr:rowOff>
    </xdr:from>
    <xdr:ext cx="1529947" cy="174663"/>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C2825E51-EB09-C397-836B-80D7DCEE5185}"/>
                </a:ext>
              </a:extLst>
            </xdr:cNvPr>
            <xdr:cNvSpPr txBox="1"/>
          </xdr:nvSpPr>
          <xdr:spPr>
            <a:xfrm>
              <a:off x="13722674772" y="9862947"/>
              <a:ext cx="1529947" cy="1746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1+1.6%</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C2825E51-EB09-C397-836B-80D7DCEE5185}"/>
                </a:ext>
              </a:extLst>
            </xdr:cNvPr>
            <xdr:cNvSpPr txBox="1"/>
          </xdr:nvSpPr>
          <xdr:spPr>
            <a:xfrm>
              <a:off x="13722674772" y="9862947"/>
              <a:ext cx="1529947" cy="1746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(1+1.6%)^4−1=</a:t>
              </a:r>
              <a:endParaRPr lang="en-US" sz="1100"/>
            </a:p>
          </xdr:txBody>
        </xdr:sp>
      </mc:Fallback>
    </mc:AlternateContent>
    <xdr:clientData/>
  </xdr:oneCellAnchor>
  <xdr:oneCellAnchor>
    <xdr:from>
      <xdr:col>6</xdr:col>
      <xdr:colOff>552610</xdr:colOff>
      <xdr:row>137</xdr:row>
      <xdr:rowOff>64492</xdr:rowOff>
    </xdr:from>
    <xdr:ext cx="1055379" cy="1633155"/>
    <xdr:pic>
      <xdr:nvPicPr>
        <xdr:cNvPr id="4" name="Picture 3" descr="Happy cute smiling funny egg. flat cartoon character ...">
          <a:extLst>
            <a:ext uri="{FF2B5EF4-FFF2-40B4-BE49-F238E27FC236}">
              <a16:creationId xmlns:a16="http://schemas.microsoft.com/office/drawing/2014/main" id="{5EAC2DE7-D6CD-C248-A79C-8ABF4E4B755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8646911" y="9818092"/>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138</xdr:row>
      <xdr:rowOff>12409</xdr:rowOff>
    </xdr:from>
    <xdr:to>
      <xdr:col>6</xdr:col>
      <xdr:colOff>301979</xdr:colOff>
      <xdr:row>142</xdr:row>
      <xdr:rowOff>138906</xdr:rowOff>
    </xdr:to>
    <xdr:sp macro="" textlink="">
      <xdr:nvSpPr>
        <xdr:cNvPr id="7" name="Rectangular Callout 6">
          <a:extLst>
            <a:ext uri="{FF2B5EF4-FFF2-40B4-BE49-F238E27FC236}">
              <a16:creationId xmlns:a16="http://schemas.microsoft.com/office/drawing/2014/main" id="{E2CA93B1-9DAD-8C45-B795-8E4D23A6D071}"/>
            </a:ext>
          </a:extLst>
        </xdr:cNvPr>
        <xdr:cNvSpPr/>
      </xdr:nvSpPr>
      <xdr:spPr>
        <a:xfrm>
          <a:off x="13519952921" y="9969209"/>
          <a:ext cx="5254979" cy="939297"/>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בחישובי אג״ח </a:t>
          </a:r>
          <a:r>
            <a:rPr lang="he-IL" sz="1100" baseline="0">
              <a:latin typeface="David" panose="020E0502060401010101" pitchFamily="34" charset="-79"/>
              <a:cs typeface="David" panose="020E0502060401010101" pitchFamily="34" charset="-79"/>
            </a:rPr>
            <a:t>שבה קיים פירעון בתשלומים, ורוצים חילוץ שיעור תשואה לפדיון:</a:t>
          </a:r>
        </a:p>
        <a:p>
          <a:pPr algn="r" rtl="1"/>
          <a:r>
            <a:rPr lang="he-IL" sz="1100" baseline="0">
              <a:latin typeface="David" panose="020E0502060401010101" pitchFamily="34" charset="-79"/>
              <a:cs typeface="David" panose="020E0502060401010101" pitchFamily="34" charset="-79"/>
            </a:rPr>
            <a:t>אם מרווח הזמן ממועד החישוב עד התזרים הקרוב, שונה מתדירות התשלום הקבועה, אז:</a:t>
          </a:r>
        </a:p>
        <a:p>
          <a:pPr algn="r" rtl="1"/>
          <a:r>
            <a:rPr lang="he-IL" sz="1100" baseline="0">
              <a:latin typeface="David" panose="020E0502060401010101" pitchFamily="34" charset="-79"/>
              <a:cs typeface="David" panose="020E0502060401010101" pitchFamily="34" charset="-79"/>
            </a:rPr>
            <a:t>א. אני בונה ״לוח סילוקין״ לפי תאריכים עם פירוט התזרימים.</a:t>
          </a:r>
        </a:p>
        <a:p>
          <a:pPr algn="r" rtl="1"/>
          <a:r>
            <a:rPr lang="he-IL" sz="1100" baseline="0">
              <a:latin typeface="David" panose="020E0502060401010101" pitchFamily="34" charset="-79"/>
              <a:cs typeface="David" panose="020E0502060401010101" pitchFamily="34" charset="-79"/>
            </a:rPr>
            <a:t>ב. אני בונה ״תזרימים פיקטיביים״ בין התאריכים, ומזין בהם ערכי 0. </a:t>
          </a:r>
        </a:p>
        <a:p>
          <a:pPr algn="r" rtl="1"/>
          <a:r>
            <a:rPr lang="he-IL" sz="1100" baseline="0">
              <a:latin typeface="David" panose="020E0502060401010101" pitchFamily="34" charset="-79"/>
              <a:cs typeface="David" panose="020E0502060401010101" pitchFamily="34" charset="-79"/>
            </a:rPr>
            <a:t>ג. אני מוודא שסדרת התזרימים (כולל הפיקטיביים) היא במרווחים זהים. </a:t>
          </a:r>
        </a:p>
        <a:p>
          <a:pPr algn="r" rtl="1"/>
          <a:r>
            <a:rPr lang="he-IL" sz="1100" baseline="0">
              <a:latin typeface="David" panose="020E0502060401010101" pitchFamily="34" charset="-79"/>
              <a:cs typeface="David" panose="020E0502060401010101" pitchFamily="34" charset="-79"/>
            </a:rPr>
            <a:t>ד. אני מפעיל </a:t>
          </a:r>
          <a:r>
            <a:rPr lang="en-US" sz="1100" baseline="0">
              <a:latin typeface="David" panose="020E0502060401010101" pitchFamily="34" charset="-79"/>
              <a:cs typeface="David" panose="020E0502060401010101" pitchFamily="34" charset="-79"/>
            </a:rPr>
            <a:t>IRR</a:t>
          </a:r>
          <a:r>
            <a:rPr lang="he-IL" sz="1100" baseline="0">
              <a:latin typeface="David" panose="020E0502060401010101" pitchFamily="34" charset="-79"/>
              <a:cs typeface="David" panose="020E0502060401010101" pitchFamily="34" charset="-79"/>
            </a:rPr>
            <a:t> ומקבל שיעור תשואה לפדיון לתקופת המרווח (המתחשב בפיקטיביים). </a:t>
          </a:r>
        </a:p>
      </xdr:txBody>
    </xdr:sp>
    <xdr:clientData/>
  </xdr:twoCellAnchor>
  <xdr:oneCellAnchor>
    <xdr:from>
      <xdr:col>2</xdr:col>
      <xdr:colOff>416899</xdr:colOff>
      <xdr:row>236</xdr:row>
      <xdr:rowOff>108316</xdr:rowOff>
    </xdr:from>
    <xdr:ext cx="2917586" cy="31688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9C3A6F31-F11F-C706-F8AE-C0018F777B70}"/>
                </a:ext>
              </a:extLst>
            </xdr:cNvPr>
            <xdr:cNvSpPr txBox="1"/>
          </xdr:nvSpPr>
          <xdr:spPr>
            <a:xfrm>
              <a:off x="13719204664" y="48657830"/>
              <a:ext cx="29175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𝐻𝑃𝑅</m:t>
                    </m:r>
                    <m:d>
                      <m:dPr>
                        <m:ctrlPr>
                          <a:rPr lang="en-US" sz="1100" b="0" i="1">
                            <a:latin typeface="Cambria Math" panose="02040503050406030204" pitchFamily="18" charset="0"/>
                          </a:rPr>
                        </m:ctrlPr>
                      </m:dPr>
                      <m:e>
                        <m:r>
                          <a:rPr lang="he-IL" sz="1100" b="0" i="1">
                            <a:latin typeface="Cambria Math" panose="02040503050406030204" pitchFamily="18" charset="0"/>
                          </a:rPr>
                          <m:t>שנתיים</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872</m:t>
                        </m:r>
                      </m:num>
                      <m:den>
                        <m:r>
                          <a:rPr lang="he-IL" sz="1100" b="0" i="1">
                            <a:latin typeface="Cambria Math" panose="02040503050406030204" pitchFamily="18" charset="0"/>
                          </a:rPr>
                          <m:t>744</m:t>
                        </m:r>
                      </m:den>
                    </m:f>
                    <m:r>
                      <a:rPr lang="he-IL" sz="1100" b="0" i="1">
                        <a:latin typeface="Cambria Math" panose="02040503050406030204" pitchFamily="18" charset="0"/>
                      </a:rPr>
                      <m:t>−1=17.204%</m:t>
                    </m:r>
                  </m:oMath>
                </m:oMathPara>
              </a14:m>
              <a:endParaRPr lang="en-US" sz="1100"/>
            </a:p>
          </xdr:txBody>
        </xdr:sp>
      </mc:Choice>
      <mc:Fallback xmlns="">
        <xdr:sp macro="" textlink="">
          <xdr:nvSpPr>
            <xdr:cNvPr id="9" name="TextBox 8">
              <a:extLst>
                <a:ext uri="{FF2B5EF4-FFF2-40B4-BE49-F238E27FC236}">
                  <a16:creationId xmlns:a16="http://schemas.microsoft.com/office/drawing/2014/main" id="{9C3A6F31-F11F-C706-F8AE-C0018F777B70}"/>
                </a:ext>
              </a:extLst>
            </xdr:cNvPr>
            <xdr:cNvSpPr txBox="1"/>
          </xdr:nvSpPr>
          <xdr:spPr>
            <a:xfrm>
              <a:off x="13719204664" y="48657830"/>
              <a:ext cx="291758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𝐻𝑃𝑅(</a:t>
              </a:r>
              <a:r>
                <a:rPr lang="he-IL" sz="1100" b="0" i="0">
                  <a:latin typeface="Cambria Math" panose="02040503050406030204" pitchFamily="18" charset="0"/>
                </a:rPr>
                <a:t>שנתיים</a:t>
              </a:r>
              <a:r>
                <a:rPr lang="en-US" sz="1100" b="0" i="0">
                  <a:latin typeface="Cambria Math" panose="02040503050406030204" pitchFamily="18" charset="0"/>
                </a:rPr>
                <a:t>)=</a:t>
              </a:r>
              <a:r>
                <a:rPr lang="he-IL" sz="1100" b="0" i="0">
                  <a:latin typeface="Cambria Math" panose="02040503050406030204" pitchFamily="18" charset="0"/>
                </a:rPr>
                <a:t>872/744−1=17.204%</a:t>
              </a:r>
              <a:endParaRPr lang="en-US" sz="1100"/>
            </a:p>
          </xdr:txBody>
        </xdr:sp>
      </mc:Fallback>
    </mc:AlternateContent>
    <xdr:clientData/>
  </xdr:oneCellAnchor>
  <xdr:oneCellAnchor>
    <xdr:from>
      <xdr:col>2</xdr:col>
      <xdr:colOff>714132</xdr:colOff>
      <xdr:row>241</xdr:row>
      <xdr:rowOff>200961</xdr:rowOff>
    </xdr:from>
    <xdr:ext cx="2917586" cy="197811"/>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D5B25CFD-2334-0CEA-C519-0071E264B1A5}"/>
                </a:ext>
              </a:extLst>
            </xdr:cNvPr>
            <xdr:cNvSpPr txBox="1"/>
          </xdr:nvSpPr>
          <xdr:spPr>
            <a:xfrm>
              <a:off x="13718907431" y="49773423"/>
              <a:ext cx="29175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𝐻𝑃𝑅</m:t>
                    </m:r>
                    <m:d>
                      <m:dPr>
                        <m:ctrlPr>
                          <a:rPr lang="en-US" sz="1100" b="0" i="1">
                            <a:latin typeface="Cambria Math" panose="02040503050406030204" pitchFamily="18" charset="0"/>
                          </a:rPr>
                        </m:ctrlPr>
                      </m:dPr>
                      <m:e>
                        <m:r>
                          <a:rPr lang="he-IL" sz="1100" b="0" i="1">
                            <a:latin typeface="Cambria Math" panose="02040503050406030204" pitchFamily="18" charset="0"/>
                          </a:rPr>
                          <m:t>שנה</m:t>
                        </m:r>
                      </m:e>
                    </m:d>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1+17.204%</m:t>
                            </m:r>
                          </m:e>
                        </m:d>
                      </m:e>
                      <m:sup>
                        <m:r>
                          <a:rPr lang="he-IL" sz="1100" b="0" i="1">
                            <a:latin typeface="Cambria Math" panose="02040503050406030204" pitchFamily="18" charset="0"/>
                          </a:rPr>
                          <m:t>0.5</m:t>
                        </m:r>
                      </m:sup>
                    </m:sSup>
                    <m:r>
                      <a:rPr lang="he-IL" sz="1100" b="0" i="1">
                        <a:latin typeface="Cambria Math" panose="02040503050406030204" pitchFamily="18" charset="0"/>
                      </a:rPr>
                      <m:t>−1=</m:t>
                    </m:r>
                  </m:oMath>
                </m:oMathPara>
              </a14:m>
              <a:endParaRPr lang="en-US" sz="1100"/>
            </a:p>
          </xdr:txBody>
        </xdr:sp>
      </mc:Choice>
      <mc:Fallback xmlns="">
        <xdr:sp macro="" textlink="">
          <xdr:nvSpPr>
            <xdr:cNvPr id="10" name="TextBox 9">
              <a:extLst>
                <a:ext uri="{FF2B5EF4-FFF2-40B4-BE49-F238E27FC236}">
                  <a16:creationId xmlns:a16="http://schemas.microsoft.com/office/drawing/2014/main" id="{D5B25CFD-2334-0CEA-C519-0071E264B1A5}"/>
                </a:ext>
              </a:extLst>
            </xdr:cNvPr>
            <xdr:cNvSpPr txBox="1"/>
          </xdr:nvSpPr>
          <xdr:spPr>
            <a:xfrm>
              <a:off x="13718907431" y="49773423"/>
              <a:ext cx="29175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𝐻𝑃𝑅(</a:t>
              </a:r>
              <a:r>
                <a:rPr lang="he-IL" sz="1100" b="0" i="0">
                  <a:latin typeface="Cambria Math" panose="02040503050406030204" pitchFamily="18" charset="0"/>
                </a:rPr>
                <a:t>שנה</a:t>
              </a:r>
              <a:r>
                <a:rPr lang="en-US" sz="1100" b="0" i="0">
                  <a:latin typeface="Cambria Math" panose="02040503050406030204" pitchFamily="18" charset="0"/>
                </a:rPr>
                <a:t>)=</a:t>
              </a:r>
              <a:r>
                <a:rPr lang="he-IL" sz="1100" b="0" i="0">
                  <a:latin typeface="Cambria Math" panose="02040503050406030204" pitchFamily="18" charset="0"/>
                </a:rPr>
                <a:t>(1+17.204%)^0.5−1=</a:t>
              </a:r>
              <a:endParaRPr lang="en-US" sz="1100"/>
            </a:p>
          </xdr:txBody>
        </xdr:sp>
      </mc:Fallback>
    </mc:AlternateContent>
    <xdr:clientData/>
  </xdr:oneCellAnchor>
  <xdr:twoCellAnchor editAs="oneCell">
    <xdr:from>
      <xdr:col>9</xdr:col>
      <xdr:colOff>304382</xdr:colOff>
      <xdr:row>244</xdr:row>
      <xdr:rowOff>31488</xdr:rowOff>
    </xdr:from>
    <xdr:to>
      <xdr:col>12</xdr:col>
      <xdr:colOff>333561</xdr:colOff>
      <xdr:row>253</xdr:row>
      <xdr:rowOff>202528</xdr:rowOff>
    </xdr:to>
    <xdr:pic>
      <xdr:nvPicPr>
        <xdr:cNvPr id="12" name="Picture 11">
          <a:extLst>
            <a:ext uri="{FF2B5EF4-FFF2-40B4-BE49-F238E27FC236}">
              <a16:creationId xmlns:a16="http://schemas.microsoft.com/office/drawing/2014/main" id="{7D05481D-F480-2737-4567-1315A9039937}"/>
            </a:ext>
          </a:extLst>
        </xdr:cNvPr>
        <xdr:cNvPicPr>
          <a:picLocks noChangeAspect="1"/>
        </xdr:cNvPicPr>
      </xdr:nvPicPr>
      <xdr:blipFill>
        <a:blip xmlns:r="http://schemas.openxmlformats.org/officeDocument/2006/relationships" r:embed="rId2"/>
        <a:stretch>
          <a:fillRect/>
        </a:stretch>
      </xdr:blipFill>
      <xdr:spPr>
        <a:xfrm>
          <a:off x="13746734208" y="50227976"/>
          <a:ext cx="2548187" cy="2023560"/>
        </a:xfrm>
        <a:prstGeom prst="rect">
          <a:avLst/>
        </a:prstGeom>
      </xdr:spPr>
    </xdr:pic>
    <xdr:clientData/>
  </xdr:twoCellAnchor>
  <xdr:twoCellAnchor>
    <xdr:from>
      <xdr:col>9</xdr:col>
      <xdr:colOff>551033</xdr:colOff>
      <xdr:row>254</xdr:row>
      <xdr:rowOff>125951</xdr:rowOff>
    </xdr:from>
    <xdr:to>
      <xdr:col>13</xdr:col>
      <xdr:colOff>708471</xdr:colOff>
      <xdr:row>261</xdr:row>
      <xdr:rowOff>115455</xdr:rowOff>
    </xdr:to>
    <xdr:sp macro="" textlink="">
      <xdr:nvSpPr>
        <xdr:cNvPr id="13" name="Rounded Rectangular Callout 12">
          <a:extLst>
            <a:ext uri="{FF2B5EF4-FFF2-40B4-BE49-F238E27FC236}">
              <a16:creationId xmlns:a16="http://schemas.microsoft.com/office/drawing/2014/main" id="{8C704CB3-B6BD-0AA3-3BFF-BCC79E4550F1}"/>
            </a:ext>
          </a:extLst>
        </xdr:cNvPr>
        <xdr:cNvSpPr/>
      </xdr:nvSpPr>
      <xdr:spPr>
        <a:xfrm>
          <a:off x="13745519628" y="52379629"/>
          <a:ext cx="3516116" cy="1432686"/>
        </a:xfrm>
        <a:prstGeom prst="wedgeRoundRectCallout">
          <a:avLst>
            <a:gd name="adj1" fmla="val 17821"/>
            <a:gd name="adj2" fmla="val -7330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ההבדל בין שאלה זו לקודמת נובע מכך שהמחיר שבו האג״ח תמכר - לא נתון.</a:t>
          </a:r>
        </a:p>
        <a:p>
          <a:pPr algn="r" rtl="1"/>
          <a:r>
            <a:rPr lang="he-IL" sz="1100"/>
            <a:t>לכן, תחילה יש לחשב את שווי האג״ח הצפוי לאחר 4 תשלומים (ערך נוכחי לתזרימים 5 ואילך), וזו תהיה תמורת מכירת האג״ח שתאפשר (יחד עם יתר הנתונים) את חישוב ה-</a:t>
          </a:r>
          <a:r>
            <a:rPr lang="en-US" sz="1100"/>
            <a:t>HPR</a:t>
          </a:r>
          <a:r>
            <a:rPr lang="he-IL" sz="1100"/>
            <a:t>. </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oneCellAnchor>
    <xdr:from>
      <xdr:col>5</xdr:col>
      <xdr:colOff>25400</xdr:colOff>
      <xdr:row>429</xdr:row>
      <xdr:rowOff>114300</xdr:rowOff>
    </xdr:from>
    <xdr:ext cx="2565518" cy="304635"/>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80CCCA67-4F62-F626-C367-98A51CCA4E86}"/>
                </a:ext>
              </a:extLst>
            </xdr:cNvPr>
            <xdr:cNvSpPr txBox="1"/>
          </xdr:nvSpPr>
          <xdr:spPr>
            <a:xfrm>
              <a:off x="13518273582" y="16395700"/>
              <a:ext cx="2565518" cy="3046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𝑖𝑛𝑓𝑖𝑛𝑖𝑡𝑒</m:t>
                    </m:r>
                    <m:r>
                      <a:rPr lang="en-US" sz="1100" b="0" i="1">
                        <a:latin typeface="Cambria Math" panose="02040503050406030204" pitchFamily="18" charset="0"/>
                      </a:rPr>
                      <m:t> </m:t>
                    </m:r>
                    <m:r>
                      <a:rPr lang="en-US" sz="1100" b="0" i="1">
                        <a:latin typeface="Cambria Math" panose="02040503050406030204" pitchFamily="18" charset="0"/>
                      </a:rPr>
                      <m:t>𝑠𝑒𝑟𝑖𝑒𝑠</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80CCCA67-4F62-F626-C367-98A51CCA4E86}"/>
                </a:ext>
              </a:extLst>
            </xdr:cNvPr>
            <xdr:cNvSpPr txBox="1"/>
          </xdr:nvSpPr>
          <xdr:spPr>
            <a:xfrm>
              <a:off x="13518273582" y="16395700"/>
              <a:ext cx="2565518" cy="3046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𝑃𝑉(𝑖𝑛𝑓𝑖𝑛𝑖𝑡𝑒 𝑠𝑒𝑟𝑖𝑒𝑠)=𝑝𝑚𝑡/𝑟</a:t>
              </a:r>
              <a:endParaRPr lang="en-US" sz="1100"/>
            </a:p>
          </xdr:txBody>
        </xdr:sp>
      </mc:Fallback>
    </mc:AlternateContent>
    <xdr:clientData/>
  </xdr:oneCellAnchor>
  <xdr:oneCellAnchor>
    <xdr:from>
      <xdr:col>3</xdr:col>
      <xdr:colOff>506224</xdr:colOff>
      <xdr:row>433</xdr:row>
      <xdr:rowOff>68563</xdr:rowOff>
    </xdr:from>
    <xdr:ext cx="3720862" cy="324641"/>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36A26B7C-DBFC-0DD8-70FD-24388B547371}"/>
                </a:ext>
              </a:extLst>
            </xdr:cNvPr>
            <xdr:cNvSpPr txBox="1"/>
          </xdr:nvSpPr>
          <xdr:spPr>
            <a:xfrm>
              <a:off x="13525562495" y="17244647"/>
              <a:ext cx="3720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en-US" sz="1100" b="0" i="1">
                            <a:latin typeface="Cambria Math" panose="02040503050406030204" pitchFamily="18" charset="0"/>
                          </a:rPr>
                          <m:t>𝐶𝑜𝑛𝑠𝑜𝑙𝑒</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𝐹𝑉</m:t>
                        </m:r>
                      </m:num>
                      <m:den>
                        <m:r>
                          <a:rPr lang="en-US" sz="1100" b="0" i="1">
                            <a:latin typeface="Cambria Math" panose="02040503050406030204" pitchFamily="18" charset="0"/>
                          </a:rPr>
                          <m:t>𝑟𝑎𝑡𝑒</m:t>
                        </m:r>
                      </m:den>
                    </m:f>
                    <m:r>
                      <a:rPr lang="en-US" sz="1100" b="0" i="0">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8%∗100</m:t>
                        </m:r>
                      </m:num>
                      <m:den>
                        <m:r>
                          <a:rPr lang="en-US" sz="1100" b="0" i="1">
                            <a:latin typeface="Cambria Math" panose="02040503050406030204" pitchFamily="18" charset="0"/>
                          </a:rPr>
                          <m:t>7%</m:t>
                        </m:r>
                      </m:den>
                    </m:f>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𝟏𝟏𝟒</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𝟐𝟗</m:t>
                    </m:r>
                  </m:oMath>
                </m:oMathPara>
              </a14:m>
              <a:endParaRPr lang="en-US" sz="1100" b="1"/>
            </a:p>
          </xdr:txBody>
        </xdr:sp>
      </mc:Choice>
      <mc:Fallback xmlns="">
        <xdr:sp macro="" textlink="">
          <xdr:nvSpPr>
            <xdr:cNvPr id="3" name="TextBox 2">
              <a:extLst>
                <a:ext uri="{FF2B5EF4-FFF2-40B4-BE49-F238E27FC236}">
                  <a16:creationId xmlns:a16="http://schemas.microsoft.com/office/drawing/2014/main" id="{36A26B7C-DBFC-0DD8-70FD-24388B547371}"/>
                </a:ext>
              </a:extLst>
            </xdr:cNvPr>
            <xdr:cNvSpPr txBox="1"/>
          </xdr:nvSpPr>
          <xdr:spPr>
            <a:xfrm>
              <a:off x="13525562495" y="17244647"/>
              <a:ext cx="3720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(𝐶𝑜𝑛𝑠𝑜𝑙𝑒)=(𝑟_𝐵∗𝐹𝑉)/𝑟𝑎𝑡𝑒=(8%∗100)/(7%)≈</a:t>
              </a:r>
              <a:r>
                <a:rPr lang="en-US" sz="1100" b="1" i="0">
                  <a:solidFill>
                    <a:srgbClr val="FF0000"/>
                  </a:solidFill>
                  <a:latin typeface="Cambria Math" panose="02040503050406030204" pitchFamily="18" charset="0"/>
                </a:rPr>
                <a:t>𝟏𝟏𝟒.𝟐𝟗</a:t>
              </a:r>
              <a:endParaRPr lang="en-US" sz="1100" b="1"/>
            </a:p>
          </xdr:txBody>
        </xdr:sp>
      </mc:Fallback>
    </mc:AlternateContent>
    <xdr:clientData/>
  </xdr:oneCellAnchor>
  <xdr:oneCellAnchor>
    <xdr:from>
      <xdr:col>6</xdr:col>
      <xdr:colOff>552610</xdr:colOff>
      <xdr:row>156</xdr:row>
      <xdr:rowOff>64492</xdr:rowOff>
    </xdr:from>
    <xdr:ext cx="1055379" cy="1633155"/>
    <xdr:pic>
      <xdr:nvPicPr>
        <xdr:cNvPr id="9" name="Picture 8" descr="Happy cute smiling funny egg. flat cartoon character ...">
          <a:extLst>
            <a:ext uri="{FF2B5EF4-FFF2-40B4-BE49-F238E27FC236}">
              <a16:creationId xmlns:a16="http://schemas.microsoft.com/office/drawing/2014/main" id="{ADE5332A-C1D0-C54A-9499-6C83BA35AD35}"/>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486149198" y="9827617"/>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157</xdr:row>
      <xdr:rowOff>12409</xdr:rowOff>
    </xdr:from>
    <xdr:to>
      <xdr:col>6</xdr:col>
      <xdr:colOff>301979</xdr:colOff>
      <xdr:row>161</xdr:row>
      <xdr:rowOff>138906</xdr:rowOff>
    </xdr:to>
    <xdr:sp macro="" textlink="">
      <xdr:nvSpPr>
        <xdr:cNvPr id="10" name="Rectangular Callout 9">
          <a:extLst>
            <a:ext uri="{FF2B5EF4-FFF2-40B4-BE49-F238E27FC236}">
              <a16:creationId xmlns:a16="http://schemas.microsoft.com/office/drawing/2014/main" id="{097B980B-3734-9C4C-A044-D4989F1608AA}"/>
            </a:ext>
          </a:extLst>
        </xdr:cNvPr>
        <xdr:cNvSpPr/>
      </xdr:nvSpPr>
      <xdr:spPr>
        <a:xfrm>
          <a:off x="13487455208" y="9978932"/>
          <a:ext cx="5243073" cy="940091"/>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latin typeface="David" panose="020E0502060401010101" pitchFamily="34" charset="-79"/>
              <a:cs typeface="David" panose="020E0502060401010101" pitchFamily="34" charset="-79"/>
            </a:rPr>
            <a:t>אז זכרו:</a:t>
          </a:r>
        </a:p>
        <a:p>
          <a:pPr algn="r" rtl="1"/>
          <a:r>
            <a:rPr lang="he-IL" sz="1100" baseline="0">
              <a:latin typeface="David" panose="020E0502060401010101" pitchFamily="34" charset="-79"/>
              <a:cs typeface="David" panose="020E0502060401010101" pitchFamily="34" charset="-79"/>
            </a:rPr>
            <a:t>במקמ״ים - ה - </a:t>
          </a:r>
          <a:r>
            <a:rPr lang="en-US" sz="1100" baseline="0">
              <a:latin typeface="David" panose="020E0502060401010101" pitchFamily="34" charset="-79"/>
              <a:cs typeface="David" panose="020E0502060401010101" pitchFamily="34" charset="-79"/>
            </a:rPr>
            <a:t>FV</a:t>
          </a:r>
          <a:r>
            <a:rPr lang="he-IL" sz="1100" baseline="0">
              <a:latin typeface="David" panose="020E0502060401010101" pitchFamily="34" charset="-79"/>
              <a:cs typeface="David" panose="020E0502060401010101" pitchFamily="34" charset="-79"/>
            </a:rPr>
            <a:t> תמיד 100.</a:t>
          </a:r>
        </a:p>
        <a:p>
          <a:pPr algn="r" rtl="1"/>
          <a:r>
            <a:rPr lang="he-IL" sz="1100" baseline="0">
              <a:latin typeface="David" panose="020E0502060401010101" pitchFamily="34" charset="-79"/>
              <a:cs typeface="David" panose="020E0502060401010101" pitchFamily="34" charset="-79"/>
            </a:rPr>
            <a:t>ה - </a:t>
          </a:r>
          <a:r>
            <a:rPr lang="en-US" sz="1100" baseline="0">
              <a:latin typeface="David" panose="020E0502060401010101" pitchFamily="34" charset="-79"/>
              <a:cs typeface="David" panose="020E0502060401010101" pitchFamily="34" charset="-79"/>
            </a:rPr>
            <a:t>PV</a:t>
          </a:r>
          <a:r>
            <a:rPr lang="he-IL" sz="1100" baseline="0">
              <a:latin typeface="David" panose="020E0502060401010101" pitchFamily="34" charset="-79"/>
              <a:cs typeface="David" panose="020E0502060401010101" pitchFamily="34" charset="-79"/>
            </a:rPr>
            <a:t> הוא עלות הרכישה (בסימן שלילי). </a:t>
          </a:r>
        </a:p>
        <a:p>
          <a:pPr algn="r" rtl="1"/>
          <a:r>
            <a:rPr lang="he-IL" sz="1100" baseline="0">
              <a:latin typeface="David" panose="020E0502060401010101" pitchFamily="34" charset="-79"/>
              <a:cs typeface="David" panose="020E0502060401010101" pitchFamily="34" charset="-79"/>
            </a:rPr>
            <a:t>ה- </a:t>
          </a:r>
          <a:r>
            <a:rPr lang="en-US" sz="1100" baseline="0">
              <a:latin typeface="David" panose="020E0502060401010101" pitchFamily="34" charset="-79"/>
              <a:cs typeface="David" panose="020E0502060401010101" pitchFamily="34" charset="-79"/>
            </a:rPr>
            <a:t>nper</a:t>
          </a:r>
          <a:r>
            <a:rPr lang="he-IL" sz="1100" baseline="0">
              <a:latin typeface="David" panose="020E0502060401010101" pitchFamily="34" charset="-79"/>
              <a:cs typeface="David" panose="020E0502060401010101" pitchFamily="34" charset="-79"/>
            </a:rPr>
            <a:t> הוא מספר השנים, וזאת לפי מספר הימים חלקי 365.</a:t>
          </a:r>
        </a:p>
        <a:p>
          <a:pPr algn="r" rtl="1"/>
          <a:r>
            <a:rPr lang="he-IL" sz="1100" baseline="0">
              <a:latin typeface="David" panose="020E0502060401010101" pitchFamily="34" charset="-79"/>
              <a:cs typeface="David" panose="020E0502060401010101" pitchFamily="34" charset="-79"/>
            </a:rPr>
            <a:t>אם פועלים כך, ה -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המחולץ/שמציבים תמיד שנתי, ויתאים לנתונים ולנדרש.</a:t>
          </a:r>
        </a:p>
      </xdr:txBody>
    </xdr:sp>
    <xdr:clientData/>
  </xdr:twoCellAnchor>
  <xdr:oneCellAnchor>
    <xdr:from>
      <xdr:col>8</xdr:col>
      <xdr:colOff>29364</xdr:colOff>
      <xdr:row>18</xdr:row>
      <xdr:rowOff>187197</xdr:rowOff>
    </xdr:from>
    <xdr:ext cx="587283" cy="908796"/>
    <xdr:pic>
      <xdr:nvPicPr>
        <xdr:cNvPr id="4" name="Picture 3" descr="Happy cute smiling funny egg. flat cartoon character ...">
          <a:extLst>
            <a:ext uri="{FF2B5EF4-FFF2-40B4-BE49-F238E27FC236}">
              <a16:creationId xmlns:a16="http://schemas.microsoft.com/office/drawing/2014/main" id="{BABBBE54-D0BF-A84D-9861-A7E4F12AB11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23782197" y="13511185"/>
          <a:ext cx="587283" cy="90879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7</xdr:col>
      <xdr:colOff>899276</xdr:colOff>
      <xdr:row>24</xdr:row>
      <xdr:rowOff>91763</xdr:rowOff>
    </xdr:from>
    <xdr:to>
      <xdr:col>9</xdr:col>
      <xdr:colOff>605636</xdr:colOff>
      <xdr:row>30</xdr:row>
      <xdr:rowOff>84422</xdr:rowOff>
    </xdr:to>
    <xdr:sp macro="" textlink="">
      <xdr:nvSpPr>
        <xdr:cNvPr id="5" name="Rounded Rectangular Callout 4">
          <a:extLst>
            <a:ext uri="{FF2B5EF4-FFF2-40B4-BE49-F238E27FC236}">
              <a16:creationId xmlns:a16="http://schemas.microsoft.com/office/drawing/2014/main" id="{1BC62B1E-CC55-38F4-07EB-88255EEB9357}"/>
            </a:ext>
          </a:extLst>
        </xdr:cNvPr>
        <xdr:cNvSpPr/>
      </xdr:nvSpPr>
      <xdr:spPr>
        <a:xfrm>
          <a:off x="13522967341" y="14627023"/>
          <a:ext cx="1574655" cy="1203931"/>
        </a:xfrm>
        <a:prstGeom prst="wedgeRoundRectCallout">
          <a:avLst>
            <a:gd name="adj1" fmla="val 18963"/>
            <a:gd name="adj2" fmla="val -6894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מהיום</a:t>
          </a:r>
          <a:r>
            <a:rPr lang="he-IL" sz="1100" baseline="0"/>
            <a:t> לתזרים הקרוב: </a:t>
          </a:r>
          <a:r>
            <a:rPr lang="he-IL" sz="1100" u="sng" baseline="0"/>
            <a:t>רבעון</a:t>
          </a:r>
        </a:p>
        <a:p>
          <a:pPr algn="r" rtl="1"/>
          <a:r>
            <a:rPr lang="he-IL" sz="1100" baseline="0"/>
            <a:t>לאחר מכן: מרווח של </a:t>
          </a:r>
          <a:r>
            <a:rPr lang="he-IL" sz="1100" u="sng" baseline="0"/>
            <a:t>חצי שנה</a:t>
          </a:r>
          <a:r>
            <a:rPr lang="he-IL" sz="1100" baseline="0"/>
            <a:t>.</a:t>
          </a:r>
        </a:p>
        <a:p>
          <a:pPr algn="r" rtl="1"/>
          <a:r>
            <a:rPr lang="he-IL" sz="1100" u="sng" baseline="0"/>
            <a:t>חייבים</a:t>
          </a:r>
          <a:r>
            <a:rPr lang="he-IL" sz="1100" baseline="0"/>
            <a:t> פיקטיביות, </a:t>
          </a:r>
          <a:r>
            <a:rPr lang="he-IL" sz="1100" u="sng" baseline="0"/>
            <a:t>חייבים</a:t>
          </a:r>
          <a:r>
            <a:rPr lang="he-IL" sz="1100" baseline="0"/>
            <a:t> מרווח של רבעון</a:t>
          </a:r>
          <a:endParaRPr lang="en-US" sz="1100"/>
        </a:p>
      </xdr:txBody>
    </xdr:sp>
    <xdr:clientData/>
  </xdr:twoCellAnchor>
  <xdr:oneCellAnchor>
    <xdr:from>
      <xdr:col>7</xdr:col>
      <xdr:colOff>711360</xdr:colOff>
      <xdr:row>329</xdr:row>
      <xdr:rowOff>60524</xdr:rowOff>
    </xdr:from>
    <xdr:ext cx="1055379" cy="1633155"/>
    <xdr:pic>
      <xdr:nvPicPr>
        <xdr:cNvPr id="6" name="Picture 5" descr="Happy cute smiling funny egg. flat cartoon character ...">
          <a:extLst>
            <a:ext uri="{FF2B5EF4-FFF2-40B4-BE49-F238E27FC236}">
              <a16:creationId xmlns:a16="http://schemas.microsoft.com/office/drawing/2014/main" id="{72B1C753-D963-934A-AB85-1CA3C4901C5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7661074" y="57107337"/>
          <a:ext cx="1055379" cy="163315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0</xdr:colOff>
      <xdr:row>330</xdr:row>
      <xdr:rowOff>12409</xdr:rowOff>
    </xdr:from>
    <xdr:to>
      <xdr:col>7</xdr:col>
      <xdr:colOff>424657</xdr:colOff>
      <xdr:row>335</xdr:row>
      <xdr:rowOff>186532</xdr:rowOff>
    </xdr:to>
    <xdr:sp macro="" textlink="">
      <xdr:nvSpPr>
        <xdr:cNvPr id="11" name="Rectangular Callout 10">
          <a:extLst>
            <a:ext uri="{FF2B5EF4-FFF2-40B4-BE49-F238E27FC236}">
              <a16:creationId xmlns:a16="http://schemas.microsoft.com/office/drawing/2014/main" id="{DD4A91A6-0DEC-1142-88C7-82987A1B2D89}"/>
            </a:ext>
          </a:extLst>
        </xdr:cNvPr>
        <xdr:cNvSpPr/>
      </xdr:nvSpPr>
      <xdr:spPr>
        <a:xfrm>
          <a:off x="13519003156" y="57261628"/>
          <a:ext cx="6203157" cy="1186154"/>
        </a:xfrm>
        <a:prstGeom prst="wedgeRectCallout">
          <a:avLst>
            <a:gd name="adj1" fmla="val -52693"/>
            <a:gd name="adj2" fmla="val 1833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latin typeface="David" panose="020E0502060401010101" pitchFamily="34" charset="-79"/>
              <a:cs typeface="David" panose="020E0502060401010101" pitchFamily="34" charset="-79"/>
            </a:rPr>
            <a:t>אז בעצם, תכל׳ס:</a:t>
          </a:r>
        </a:p>
        <a:p>
          <a:pPr algn="r" rtl="1"/>
          <a:r>
            <a:rPr lang="he-IL" sz="1100" baseline="0">
              <a:latin typeface="David" panose="020E0502060401010101" pitchFamily="34" charset="-79"/>
              <a:cs typeface="David" panose="020E0502060401010101" pitchFamily="34" charset="-79"/>
            </a:rPr>
            <a:t>מח״מ = פרק זמן ״ממוצע״ עד לפרעון אג״ח</a:t>
          </a:r>
        </a:p>
        <a:p>
          <a:pPr algn="r" rtl="1"/>
          <a:r>
            <a:rPr lang="he-IL" sz="1100" baseline="0">
              <a:latin typeface="David" panose="020E0502060401010101" pitchFamily="34" charset="-79"/>
              <a:cs typeface="David" panose="020E0502060401010101" pitchFamily="34" charset="-79"/>
            </a:rPr>
            <a:t>מח״מ ארוך = אגרת חוב למספר שנים גבוה &gt;&gt;&gt; רגישות גבוהה לשינויים ב - </a:t>
          </a:r>
          <a:r>
            <a:rPr lang="en-US" sz="1100" baseline="0">
              <a:latin typeface="David" panose="020E0502060401010101" pitchFamily="34" charset="-79"/>
              <a:cs typeface="David" panose="020E0502060401010101" pitchFamily="34" charset="-79"/>
            </a:rPr>
            <a:t>rate</a:t>
          </a:r>
        </a:p>
        <a:p>
          <a:pPr algn="r" rtl="1"/>
          <a:r>
            <a:rPr lang="en-US" sz="1100" baseline="0">
              <a:latin typeface="David" panose="020E0502060401010101" pitchFamily="34" charset="-79"/>
              <a:cs typeface="David" panose="020E0502060401010101" pitchFamily="34" charset="-79"/>
            </a:rPr>
            <a:t>                                                 </a:t>
          </a:r>
          <a:r>
            <a:rPr lang="he-IL" sz="1100" baseline="0">
              <a:latin typeface="David" panose="020E0502060401010101" pitchFamily="34" charset="-79"/>
              <a:cs typeface="David" panose="020E0502060401010101" pitchFamily="34" charset="-79"/>
            </a:rPr>
            <a:t>                      &gt;&gt;&gt; עלייה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ירידה חדה בשווי</a:t>
          </a:r>
          <a:endParaRPr lang="en-US"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מח״מ קצר = אך למספר שנים נמוך &gt;&gt;&gt; רגישות נמוכה לשינויים ב-</a:t>
          </a:r>
          <a:r>
            <a:rPr lang="en-US" sz="1100" baseline="0">
              <a:latin typeface="David" panose="020E0502060401010101" pitchFamily="34" charset="-79"/>
              <a:cs typeface="David" panose="020E0502060401010101" pitchFamily="34" charset="-79"/>
            </a:rPr>
            <a:t>rate</a:t>
          </a:r>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                                                                       &gt;&gt;&gt; עלייה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ירידה מתונה בשווי</a:t>
          </a:r>
        </a:p>
        <a:p>
          <a:pPr algn="r" rtl="1"/>
          <a:r>
            <a:rPr lang="he-IL" sz="1100" baseline="0">
              <a:latin typeface="David" panose="020E0502060401010101" pitchFamily="34" charset="-79"/>
              <a:cs typeface="David" panose="020E0502060401010101" pitchFamily="34" charset="-79"/>
            </a:rPr>
            <a:t>                                                                       &gt;&gt;&gt; ירידה בריבית האלטרנטיבית </a:t>
          </a:r>
          <a:r>
            <a:rPr lang="en-US" sz="1100" baseline="0">
              <a:latin typeface="David" panose="020E0502060401010101" pitchFamily="34" charset="-79"/>
              <a:cs typeface="David" panose="020E0502060401010101" pitchFamily="34" charset="-79"/>
            </a:rPr>
            <a:t>rate</a:t>
          </a:r>
          <a:r>
            <a:rPr lang="he-IL" sz="1100" baseline="0">
              <a:latin typeface="David" panose="020E0502060401010101" pitchFamily="34" charset="-79"/>
              <a:cs typeface="David" panose="020E0502060401010101" pitchFamily="34" charset="-79"/>
            </a:rPr>
            <a:t> &gt;&gt;&gt; עלייה מתונה בשווי</a:t>
          </a:r>
        </a:p>
      </xdr:txBody>
    </xdr:sp>
    <xdr:clientData/>
  </xdr:twoCellAnchor>
  <xdr:twoCellAnchor>
    <xdr:from>
      <xdr:col>3</xdr:col>
      <xdr:colOff>668931</xdr:colOff>
      <xdr:row>82</xdr:row>
      <xdr:rowOff>122799</xdr:rowOff>
    </xdr:from>
    <xdr:to>
      <xdr:col>4</xdr:col>
      <xdr:colOff>151882</xdr:colOff>
      <xdr:row>84</xdr:row>
      <xdr:rowOff>171273</xdr:rowOff>
    </xdr:to>
    <xdr:cxnSp macro="">
      <xdr:nvCxnSpPr>
        <xdr:cNvPr id="13" name="Straight Arrow Connector 12">
          <a:extLst>
            <a:ext uri="{FF2B5EF4-FFF2-40B4-BE49-F238E27FC236}">
              <a16:creationId xmlns:a16="http://schemas.microsoft.com/office/drawing/2014/main" id="{6F38D4B3-2F02-E7C8-086F-615FB4155B5C}"/>
            </a:ext>
          </a:extLst>
        </xdr:cNvPr>
        <xdr:cNvCxnSpPr/>
      </xdr:nvCxnSpPr>
      <xdr:spPr>
        <a:xfrm>
          <a:off x="13497934861" y="16881629"/>
          <a:ext cx="306997" cy="468575"/>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4</xdr:col>
      <xdr:colOff>630153</xdr:colOff>
      <xdr:row>82</xdr:row>
      <xdr:rowOff>142188</xdr:rowOff>
    </xdr:from>
    <xdr:to>
      <xdr:col>5</xdr:col>
      <xdr:colOff>90484</xdr:colOff>
      <xdr:row>84</xdr:row>
      <xdr:rowOff>197125</xdr:rowOff>
    </xdr:to>
    <xdr:cxnSp macro="">
      <xdr:nvCxnSpPr>
        <xdr:cNvPr id="14" name="Straight Arrow Connector 13">
          <a:extLst>
            <a:ext uri="{FF2B5EF4-FFF2-40B4-BE49-F238E27FC236}">
              <a16:creationId xmlns:a16="http://schemas.microsoft.com/office/drawing/2014/main" id="{6FC427D5-670A-D05F-5EE3-8A96B98A978D}"/>
            </a:ext>
          </a:extLst>
        </xdr:cNvPr>
        <xdr:cNvCxnSpPr/>
      </xdr:nvCxnSpPr>
      <xdr:spPr>
        <a:xfrm flipH="1">
          <a:off x="13497172213" y="16901018"/>
          <a:ext cx="284377" cy="475038"/>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3</xdr:col>
      <xdr:colOff>109874</xdr:colOff>
      <xdr:row>86</xdr:row>
      <xdr:rowOff>129262</xdr:rowOff>
    </xdr:from>
    <xdr:to>
      <xdr:col>5</xdr:col>
      <xdr:colOff>662469</xdr:colOff>
      <xdr:row>87</xdr:row>
      <xdr:rowOff>135725</xdr:rowOff>
    </xdr:to>
    <xdr:sp macro="" textlink="">
      <xdr:nvSpPr>
        <xdr:cNvPr id="16" name="Left Brace 15">
          <a:extLst>
            <a:ext uri="{FF2B5EF4-FFF2-40B4-BE49-F238E27FC236}">
              <a16:creationId xmlns:a16="http://schemas.microsoft.com/office/drawing/2014/main" id="{27A51E9F-0725-EB74-7302-49BF831FC9EA}"/>
            </a:ext>
          </a:extLst>
        </xdr:cNvPr>
        <xdr:cNvSpPr/>
      </xdr:nvSpPr>
      <xdr:spPr>
        <a:xfrm rot="16200000">
          <a:off x="13497595546" y="16720051"/>
          <a:ext cx="210051" cy="220068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685088</xdr:colOff>
      <xdr:row>96</xdr:row>
      <xdr:rowOff>96946</xdr:rowOff>
    </xdr:from>
    <xdr:to>
      <xdr:col>6</xdr:col>
      <xdr:colOff>743256</xdr:colOff>
      <xdr:row>96</xdr:row>
      <xdr:rowOff>113103</xdr:rowOff>
    </xdr:to>
    <xdr:cxnSp macro="">
      <xdr:nvCxnSpPr>
        <xdr:cNvPr id="18" name="Straight Arrow Connector 17">
          <a:extLst>
            <a:ext uri="{FF2B5EF4-FFF2-40B4-BE49-F238E27FC236}">
              <a16:creationId xmlns:a16="http://schemas.microsoft.com/office/drawing/2014/main" id="{29DC3293-B205-8614-9D1F-845F0817E6F0}"/>
            </a:ext>
          </a:extLst>
        </xdr:cNvPr>
        <xdr:cNvCxnSpPr/>
      </xdr:nvCxnSpPr>
      <xdr:spPr>
        <a:xfrm>
          <a:off x="13495695395" y="19718931"/>
          <a:ext cx="4178397" cy="1615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8</xdr:col>
      <xdr:colOff>642</xdr:colOff>
      <xdr:row>96</xdr:row>
      <xdr:rowOff>56444</xdr:rowOff>
    </xdr:from>
    <xdr:to>
      <xdr:col>9</xdr:col>
      <xdr:colOff>223359</xdr:colOff>
      <xdr:row>101</xdr:row>
      <xdr:rowOff>16328</xdr:rowOff>
    </xdr:to>
    <xdr:pic>
      <xdr:nvPicPr>
        <xdr:cNvPr id="19" name="Picture 18">
          <a:extLst>
            <a:ext uri="{FF2B5EF4-FFF2-40B4-BE49-F238E27FC236}">
              <a16:creationId xmlns:a16="http://schemas.microsoft.com/office/drawing/2014/main" id="{B9F7C047-A0A6-F71A-CCF4-42C6EF1A850A}"/>
            </a:ext>
          </a:extLst>
        </xdr:cNvPr>
        <xdr:cNvPicPr>
          <a:picLocks noChangeAspect="1"/>
        </xdr:cNvPicPr>
      </xdr:nvPicPr>
      <xdr:blipFill>
        <a:blip xmlns:r="http://schemas.openxmlformats.org/officeDocument/2006/relationships" r:embed="rId2"/>
        <a:stretch>
          <a:fillRect/>
        </a:stretch>
      </xdr:blipFill>
      <xdr:spPr>
        <a:xfrm>
          <a:off x="13533844101" y="19505587"/>
          <a:ext cx="1049225" cy="967820"/>
        </a:xfrm>
        <a:prstGeom prst="rect">
          <a:avLst/>
        </a:prstGeom>
      </xdr:spPr>
    </xdr:pic>
    <xdr:clientData/>
  </xdr:twoCellAnchor>
  <xdr:twoCellAnchor>
    <xdr:from>
      <xdr:col>8</xdr:col>
      <xdr:colOff>72571</xdr:colOff>
      <xdr:row>101</xdr:row>
      <xdr:rowOff>68541</xdr:rowOff>
    </xdr:from>
    <xdr:to>
      <xdr:col>11</xdr:col>
      <xdr:colOff>378984</xdr:colOff>
      <xdr:row>115</xdr:row>
      <xdr:rowOff>185460</xdr:rowOff>
    </xdr:to>
    <xdr:sp macro="" textlink="">
      <xdr:nvSpPr>
        <xdr:cNvPr id="20" name="Rectangular Callout 19">
          <a:extLst>
            <a:ext uri="{FF2B5EF4-FFF2-40B4-BE49-F238E27FC236}">
              <a16:creationId xmlns:a16="http://schemas.microsoft.com/office/drawing/2014/main" id="{85926069-A19F-C797-E7C0-944C30676F7B}"/>
            </a:ext>
          </a:extLst>
        </xdr:cNvPr>
        <xdr:cNvSpPr/>
      </xdr:nvSpPr>
      <xdr:spPr>
        <a:xfrm>
          <a:off x="13532035460" y="20525620"/>
          <a:ext cx="2785937" cy="923269"/>
        </a:xfrm>
        <a:prstGeom prst="wedgeRectCallout">
          <a:avLst>
            <a:gd name="adj1" fmla="val 15735"/>
            <a:gd name="adj2" fmla="val -55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רכישת המק״מ היא בתחילת יום העסקים /</a:t>
          </a:r>
          <a:r>
            <a:rPr lang="he-IL" sz="1100" baseline="0"/>
            <a:t> בבוקר, כמו במקרה זה - התקופה לפדיון בימים היא בעיקרון לפי הפרש התאריכים + 1. </a:t>
          </a:r>
        </a:p>
        <a:p>
          <a:pPr algn="r" rtl="1"/>
          <a:r>
            <a:rPr lang="he-IL" sz="1100" baseline="0"/>
            <a:t>אם היא לאחר תום יום העסקים, התקופה לפדיון היא לפי הפרש התאריכים.</a:t>
          </a:r>
          <a:endParaRPr lang="en-US" sz="1100"/>
        </a:p>
      </xdr:txBody>
    </xdr:sp>
    <xdr:clientData/>
  </xdr:twoCellAnchor>
  <xdr:twoCellAnchor>
    <xdr:from>
      <xdr:col>8</xdr:col>
      <xdr:colOff>92730</xdr:colOff>
      <xdr:row>116</xdr:row>
      <xdr:rowOff>8063</xdr:rowOff>
    </xdr:from>
    <xdr:to>
      <xdr:col>11</xdr:col>
      <xdr:colOff>423333</xdr:colOff>
      <xdr:row>118</xdr:row>
      <xdr:rowOff>84667</xdr:rowOff>
    </xdr:to>
    <xdr:sp macro="" textlink="">
      <xdr:nvSpPr>
        <xdr:cNvPr id="21" name="Rectangle 20">
          <a:extLst>
            <a:ext uri="{FF2B5EF4-FFF2-40B4-BE49-F238E27FC236}">
              <a16:creationId xmlns:a16="http://schemas.microsoft.com/office/drawing/2014/main" id="{8BE0070F-4681-4FAA-9B32-32112BF08DC3}"/>
            </a:ext>
          </a:extLst>
        </xdr:cNvPr>
        <xdr:cNvSpPr/>
      </xdr:nvSpPr>
      <xdr:spPr>
        <a:xfrm>
          <a:off x="13531991111" y="21473079"/>
          <a:ext cx="2810127" cy="479778"/>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r>
            <a:rPr lang="he-IL" sz="1100"/>
            <a:t>מבחינתנו: באופן גורף - נקבל גם תשובות שמבצעות 1+ וגם תשובות בלי!</a:t>
          </a:r>
          <a:endParaRPr lang="en-US" sz="1100"/>
        </a:p>
      </xdr:txBody>
    </xdr:sp>
    <xdr:clientData/>
  </xdr:twoCellAnchor>
  <xdr:oneCellAnchor>
    <xdr:from>
      <xdr:col>3</xdr:col>
      <xdr:colOff>688475</xdr:colOff>
      <xdr:row>196</xdr:row>
      <xdr:rowOff>25734</xdr:rowOff>
    </xdr:from>
    <xdr:ext cx="1429537" cy="315792"/>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DBFF4CC-F7B8-595F-4AC3-E4A67FDE6970}"/>
                </a:ext>
              </a:extLst>
            </xdr:cNvPr>
            <xdr:cNvSpPr txBox="1"/>
          </xdr:nvSpPr>
          <xdr:spPr>
            <a:xfrm>
              <a:off x="13520614725" y="38105681"/>
              <a:ext cx="1429537"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𝐹𝑉</m:t>
                        </m:r>
                      </m:num>
                      <m:den>
                        <m:r>
                          <a:rPr lang="en-US" sz="1100" b="0" i="1">
                            <a:latin typeface="Cambria Math" panose="02040503050406030204" pitchFamily="18" charset="0"/>
                          </a:rPr>
                          <m:t>𝑟𝑎𝑡𝑒</m:t>
                        </m:r>
                      </m:den>
                    </m:f>
                  </m:oMath>
                </m:oMathPara>
              </a14:m>
              <a:endParaRPr lang="en-US" sz="1100"/>
            </a:p>
          </xdr:txBody>
        </xdr:sp>
      </mc:Choice>
      <mc:Fallback xmlns="">
        <xdr:sp macro="" textlink="">
          <xdr:nvSpPr>
            <xdr:cNvPr id="22" name="TextBox 21">
              <a:extLst>
                <a:ext uri="{FF2B5EF4-FFF2-40B4-BE49-F238E27FC236}">
                  <a16:creationId xmlns:a16="http://schemas.microsoft.com/office/drawing/2014/main" id="{BDBFF4CC-F7B8-595F-4AC3-E4A67FDE6970}"/>
                </a:ext>
              </a:extLst>
            </xdr:cNvPr>
            <xdr:cNvSpPr txBox="1"/>
          </xdr:nvSpPr>
          <xdr:spPr>
            <a:xfrm>
              <a:off x="13520614725" y="38105681"/>
              <a:ext cx="1429537"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𝑃𝑉=(𝑟_𝐵∗𝐹𝑉)/𝑟𝑎𝑡𝑒</a:t>
              </a:r>
              <a:endParaRPr lang="en-US" sz="1100"/>
            </a:p>
          </xdr:txBody>
        </xdr:sp>
      </mc:Fallback>
    </mc:AlternateContent>
    <xdr:clientData/>
  </xdr:oneCellAnchor>
  <xdr:oneCellAnchor>
    <xdr:from>
      <xdr:col>3</xdr:col>
      <xdr:colOff>210554</xdr:colOff>
      <xdr:row>202</xdr:row>
      <xdr:rowOff>125997</xdr:rowOff>
    </xdr:from>
    <xdr:ext cx="1429537" cy="324641"/>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C2AD1229-870D-64F8-6A5E-EF0D5E66C782}"/>
                </a:ext>
              </a:extLst>
            </xdr:cNvPr>
            <xdr:cNvSpPr txBox="1"/>
          </xdr:nvSpPr>
          <xdr:spPr>
            <a:xfrm>
              <a:off x="13521092646" y="39429155"/>
              <a:ext cx="142953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9%∗100</m:t>
                        </m:r>
                      </m:num>
                      <m:den>
                        <m:r>
                          <a:rPr lang="en-US" sz="1100" b="0" i="1">
                            <a:latin typeface="Cambria Math" panose="02040503050406030204" pitchFamily="18" charset="0"/>
                          </a:rPr>
                          <m:t>11%</m:t>
                        </m:r>
                      </m:den>
                    </m:f>
                    <m:r>
                      <a:rPr lang="en-US" sz="1100" b="0" i="1">
                        <a:latin typeface="Cambria Math" panose="02040503050406030204" pitchFamily="18" charset="0"/>
                      </a:rPr>
                      <m:t>=</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C2AD1229-870D-64F8-6A5E-EF0D5E66C782}"/>
                </a:ext>
              </a:extLst>
            </xdr:cNvPr>
            <xdr:cNvSpPr txBox="1"/>
          </xdr:nvSpPr>
          <xdr:spPr>
            <a:xfrm>
              <a:off x="13521092646" y="39429155"/>
              <a:ext cx="142953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𝑃𝑉=(9%∗100)/(11%)=</a:t>
              </a:r>
              <a:endParaRPr lang="en-US" sz="1100"/>
            </a:p>
          </xdr:txBody>
        </xdr:sp>
      </mc:Fallback>
    </mc:AlternateContent>
    <xdr:clientData/>
  </xdr:oneCellAnchor>
  <xdr:oneCellAnchor>
    <xdr:from>
      <xdr:col>6</xdr:col>
      <xdr:colOff>34925</xdr:colOff>
      <xdr:row>216</xdr:row>
      <xdr:rowOff>163512</xdr:rowOff>
    </xdr:from>
    <xdr:ext cx="1409818" cy="324641"/>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B852B122-5629-2532-11D6-FADE9FBFA342}"/>
                </a:ext>
              </a:extLst>
            </xdr:cNvPr>
            <xdr:cNvSpPr txBox="1"/>
          </xdr:nvSpPr>
          <xdr:spPr>
            <a:xfrm>
              <a:off x="13518810157" y="42175112"/>
              <a:ext cx="14098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7%∗100</m:t>
                        </m:r>
                      </m:num>
                      <m:den>
                        <m:r>
                          <a:rPr lang="en-US" sz="1100" b="0" i="1">
                            <a:latin typeface="Cambria Math" panose="02040503050406030204" pitchFamily="18" charset="0"/>
                          </a:rPr>
                          <m:t>5%</m:t>
                        </m:r>
                      </m:den>
                    </m:f>
                    <m:r>
                      <a:rPr lang="en-US" sz="1100" b="0" i="1">
                        <a:latin typeface="Cambria Math" panose="02040503050406030204" pitchFamily="18" charset="0"/>
                      </a:rPr>
                      <m:t>=</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B852B122-5629-2532-11D6-FADE9FBFA342}"/>
                </a:ext>
              </a:extLst>
            </xdr:cNvPr>
            <xdr:cNvSpPr txBox="1"/>
          </xdr:nvSpPr>
          <xdr:spPr>
            <a:xfrm>
              <a:off x="13518810157" y="42175112"/>
              <a:ext cx="14098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𝑃𝑉=(7%∗100)/(5%)=</a:t>
              </a:r>
              <a:endParaRPr lang="en-US" sz="1100"/>
            </a:p>
          </xdr:txBody>
        </xdr:sp>
      </mc:Fallback>
    </mc:AlternateContent>
    <xdr:clientData/>
  </xdr:oneCellAnchor>
</xdr:wsDr>
</file>

<file path=xl/drawings/drawing5.xml><?xml version="1.0" encoding="utf-8"?>
<xdr:wsDr xmlns:xdr="http://schemas.openxmlformats.org/drawingml/2006/spreadsheetDrawing" xmlns:a="http://schemas.openxmlformats.org/drawingml/2006/main">
  <xdr:oneCellAnchor>
    <xdr:from>
      <xdr:col>7</xdr:col>
      <xdr:colOff>76666</xdr:colOff>
      <xdr:row>159</xdr:row>
      <xdr:rowOff>93</xdr:rowOff>
    </xdr:from>
    <xdr:ext cx="1534328" cy="2374309"/>
    <xdr:pic>
      <xdr:nvPicPr>
        <xdr:cNvPr id="2" name="Picture 1" descr="Happy cute smiling funny egg. flat cartoon character ...">
          <a:extLst>
            <a:ext uri="{FF2B5EF4-FFF2-40B4-BE49-F238E27FC236}">
              <a16:creationId xmlns:a16="http://schemas.microsoft.com/office/drawing/2014/main" id="{54E4F06A-310F-DB4A-8E1E-C382C527E2A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6795672" y="32570093"/>
          <a:ext cx="1534328" cy="237430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172272</xdr:colOff>
      <xdr:row>163</xdr:row>
      <xdr:rowOff>183334</xdr:rowOff>
    </xdr:from>
    <xdr:to>
      <xdr:col>6</xdr:col>
      <xdr:colOff>500789</xdr:colOff>
      <xdr:row>169</xdr:row>
      <xdr:rowOff>148233</xdr:rowOff>
    </xdr:to>
    <xdr:sp macro="" textlink="">
      <xdr:nvSpPr>
        <xdr:cNvPr id="3" name="Rounded Rectangular Callout 2">
          <a:extLst>
            <a:ext uri="{FF2B5EF4-FFF2-40B4-BE49-F238E27FC236}">
              <a16:creationId xmlns:a16="http://schemas.microsoft.com/office/drawing/2014/main" id="{DD4116B2-83CB-24C0-3A09-7213A08C0DC1}"/>
            </a:ext>
          </a:extLst>
        </xdr:cNvPr>
        <xdr:cNvSpPr/>
      </xdr:nvSpPr>
      <xdr:spPr>
        <a:xfrm>
          <a:off x="13538732544" y="33566667"/>
          <a:ext cx="5288517" cy="1184899"/>
        </a:xfrm>
        <a:prstGeom prst="wedgeRoundRectCallout">
          <a:avLst>
            <a:gd name="adj1" fmla="val -59159"/>
            <a:gd name="adj2" fmla="val 1334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אני רוצה לחשב שיעור תשואה המגולמת באג״ח צמודה:</a:t>
          </a:r>
        </a:p>
        <a:p>
          <a:pPr algn="r" rtl="1"/>
          <a:r>
            <a:rPr lang="he-IL" sz="1100"/>
            <a:t>א. אחשב</a:t>
          </a:r>
          <a:r>
            <a:rPr lang="he-IL" sz="1100" baseline="0"/>
            <a:t> את מחיר האג״ח ״לפני הצמדה״. זאת על ידי המחיר הצמוד (שער) המוכפל ביחס בין מדד הבסיס לבין המדד העדכני.</a:t>
          </a:r>
        </a:p>
        <a:p>
          <a:pPr algn="r" rtl="1"/>
          <a:r>
            <a:rPr lang="he-IL" sz="1100" baseline="0"/>
            <a:t>ב. את מחיר האג״ח ״לפני הצמדה״ אציב בסימן שלילי בטבלת התזרימים הריאליים שבניתי, ואחריו את כל יתר תזרימי האג״ח.</a:t>
          </a:r>
        </a:p>
        <a:p>
          <a:pPr algn="r" rtl="1"/>
          <a:r>
            <a:rPr lang="he-IL" sz="1100" baseline="0"/>
            <a:t>ג. אשתמש בפונקציית </a:t>
          </a:r>
          <a:r>
            <a:rPr lang="en-US" sz="1100" baseline="0"/>
            <a:t>IRR</a:t>
          </a:r>
          <a:r>
            <a:rPr lang="he-IL" sz="1100" baseline="0"/>
            <a:t> על טבלת התזרימים, כדי לחלץ את שיעור התשואה המגולם.</a:t>
          </a:r>
          <a:endParaRPr lang="en-US" sz="1100"/>
        </a:p>
      </xdr:txBody>
    </xdr:sp>
    <xdr:clientData/>
  </xdr:twoCellAnchor>
  <xdr:twoCellAnchor>
    <xdr:from>
      <xdr:col>0</xdr:col>
      <xdr:colOff>533235</xdr:colOff>
      <xdr:row>269</xdr:row>
      <xdr:rowOff>118045</xdr:rowOff>
    </xdr:from>
    <xdr:to>
      <xdr:col>0</xdr:col>
      <xdr:colOff>785609</xdr:colOff>
      <xdr:row>270</xdr:row>
      <xdr:rowOff>154679</xdr:rowOff>
    </xdr:to>
    <xdr:sp macro="" textlink="">
      <xdr:nvSpPr>
        <xdr:cNvPr id="4" name="Freeform 3">
          <a:extLst>
            <a:ext uri="{FF2B5EF4-FFF2-40B4-BE49-F238E27FC236}">
              <a16:creationId xmlns:a16="http://schemas.microsoft.com/office/drawing/2014/main" id="{5D985E78-DE7E-D2E5-ED1D-C7C1FAA635FB}"/>
            </a:ext>
          </a:extLst>
        </xdr:cNvPr>
        <xdr:cNvSpPr/>
      </xdr:nvSpPr>
      <xdr:spPr>
        <a:xfrm>
          <a:off x="13537544647" y="41148814"/>
          <a:ext cx="252374" cy="240160"/>
        </a:xfrm>
        <a:custGeom>
          <a:avLst/>
          <a:gdLst>
            <a:gd name="connsiteX0" fmla="*/ 0 w 252374"/>
            <a:gd name="connsiteY0" fmla="*/ 240160 h 240160"/>
            <a:gd name="connsiteX1" fmla="*/ 252372 w 252374"/>
            <a:gd name="connsiteY1" fmla="*/ 105833 h 240160"/>
            <a:gd name="connsiteX2" fmla="*/ 4071 w 252374"/>
            <a:gd name="connsiteY2" fmla="*/ 0 h 240160"/>
          </a:gdLst>
          <a:ahLst/>
          <a:cxnLst>
            <a:cxn ang="0">
              <a:pos x="connsiteX0" y="connsiteY0"/>
            </a:cxn>
            <a:cxn ang="0">
              <a:pos x="connsiteX1" y="connsiteY1"/>
            </a:cxn>
            <a:cxn ang="0">
              <a:pos x="connsiteX2" y="connsiteY2"/>
            </a:cxn>
          </a:cxnLst>
          <a:rect l="l" t="t" r="r" b="b"/>
          <a:pathLst>
            <a:path w="252374" h="240160">
              <a:moveTo>
                <a:pt x="0" y="240160"/>
              </a:moveTo>
              <a:cubicBezTo>
                <a:pt x="125847" y="193010"/>
                <a:pt x="251694" y="145860"/>
                <a:pt x="252372" y="105833"/>
              </a:cubicBezTo>
              <a:cubicBezTo>
                <a:pt x="253051" y="65806"/>
                <a:pt x="128561" y="32903"/>
                <a:pt x="4071"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7</xdr:col>
      <xdr:colOff>240378</xdr:colOff>
      <xdr:row>296</xdr:row>
      <xdr:rowOff>172272</xdr:rowOff>
    </xdr:from>
    <xdr:ext cx="587283" cy="908796"/>
    <xdr:pic>
      <xdr:nvPicPr>
        <xdr:cNvPr id="5" name="Picture 4" descr="Happy cute smiling funny egg. flat cartoon character ...">
          <a:extLst>
            <a:ext uri="{FF2B5EF4-FFF2-40B4-BE49-F238E27FC236}">
              <a16:creationId xmlns:a16="http://schemas.microsoft.com/office/drawing/2014/main" id="{A6123410-759C-7547-AAB3-C5C6E241E95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1718396" y="26752721"/>
          <a:ext cx="587283" cy="90879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172272</xdr:colOff>
      <xdr:row>296</xdr:row>
      <xdr:rowOff>56088</xdr:rowOff>
    </xdr:from>
    <xdr:to>
      <xdr:col>7</xdr:col>
      <xdr:colOff>183172</xdr:colOff>
      <xdr:row>301</xdr:row>
      <xdr:rowOff>148233</xdr:rowOff>
    </xdr:to>
    <xdr:sp macro="" textlink="">
      <xdr:nvSpPr>
        <xdr:cNvPr id="6" name="Rounded Rectangular Callout 5">
          <a:extLst>
            <a:ext uri="{FF2B5EF4-FFF2-40B4-BE49-F238E27FC236}">
              <a16:creationId xmlns:a16="http://schemas.microsoft.com/office/drawing/2014/main" id="{EA219241-724C-1843-AE63-C35762BDC1C1}"/>
            </a:ext>
          </a:extLst>
        </xdr:cNvPr>
        <xdr:cNvSpPr/>
      </xdr:nvSpPr>
      <xdr:spPr>
        <a:xfrm>
          <a:off x="13532362885" y="46582050"/>
          <a:ext cx="5795099" cy="1109773"/>
        </a:xfrm>
        <a:prstGeom prst="wedgeRoundRectCallout">
          <a:avLst>
            <a:gd name="adj1" fmla="val -51501"/>
            <a:gd name="adj2" fmla="val 1261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אני רוצה לחשב שווי אג״ח צמודה לתאריך ספציפי,</a:t>
          </a:r>
          <a:r>
            <a:rPr lang="he-IL" sz="1100" baseline="0"/>
            <a:t> שאיננו תחילת שנה ספציפית / סוף שנה ספציפית, עליי:</a:t>
          </a:r>
        </a:p>
        <a:p>
          <a:pPr algn="r" rtl="1"/>
          <a:r>
            <a:rPr lang="he-IL" sz="1100" baseline="0"/>
            <a:t>א. לחשב את מחיר האג״ח לפני הצמדה ״כרגיל״ (כאילו מדובר בשאלה פשוטה, בשנים שלמות). </a:t>
          </a:r>
        </a:p>
        <a:p>
          <a:pPr algn="r" rtl="1"/>
          <a:r>
            <a:rPr lang="he-IL" sz="1100" baseline="0"/>
            <a:t>ב. לתאם / לתקנן את מחיר האג״ח לתאריך הספציפי לפי הריבית והפרש הימים (מתואם לשנה). </a:t>
          </a:r>
        </a:p>
        <a:p>
          <a:pPr algn="r" rtl="1"/>
          <a:r>
            <a:rPr lang="he-IL" sz="1100" baseline="0"/>
            <a:t>ג. לכפול את המחיר הריאלי המתואם לתאריך הספציפי ליחס בין המדדים / השערים (עדכני חלקי בסיס).</a:t>
          </a:r>
          <a:endParaRPr lang="en-US" sz="1100"/>
        </a:p>
      </xdr:txBody>
    </xdr:sp>
    <xdr:clientData/>
  </xdr:twoCellAnchor>
  <xdr:twoCellAnchor>
    <xdr:from>
      <xdr:col>5</xdr:col>
      <xdr:colOff>370961</xdr:colOff>
      <xdr:row>62</xdr:row>
      <xdr:rowOff>205120</xdr:rowOff>
    </xdr:from>
    <xdr:to>
      <xdr:col>5</xdr:col>
      <xdr:colOff>480068</xdr:colOff>
      <xdr:row>64</xdr:row>
      <xdr:rowOff>30549</xdr:rowOff>
    </xdr:to>
    <xdr:sp macro="" textlink="">
      <xdr:nvSpPr>
        <xdr:cNvPr id="7" name="Down Arrow 6">
          <a:extLst>
            <a:ext uri="{FF2B5EF4-FFF2-40B4-BE49-F238E27FC236}">
              <a16:creationId xmlns:a16="http://schemas.microsoft.com/office/drawing/2014/main" id="{87950AB9-F1C0-2427-59D3-942A84CB8022}"/>
            </a:ext>
          </a:extLst>
        </xdr:cNvPr>
        <xdr:cNvSpPr/>
      </xdr:nvSpPr>
      <xdr:spPr>
        <a:xfrm>
          <a:off x="13509753746" y="13009862"/>
          <a:ext cx="109107" cy="23567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423333</xdr:colOff>
      <xdr:row>62</xdr:row>
      <xdr:rowOff>174570</xdr:rowOff>
    </xdr:from>
    <xdr:to>
      <xdr:col>4</xdr:col>
      <xdr:colOff>532440</xdr:colOff>
      <xdr:row>63</xdr:row>
      <xdr:rowOff>205119</xdr:rowOff>
    </xdr:to>
    <xdr:sp macro="" textlink="">
      <xdr:nvSpPr>
        <xdr:cNvPr id="8" name="Down Arrow 7">
          <a:extLst>
            <a:ext uri="{FF2B5EF4-FFF2-40B4-BE49-F238E27FC236}">
              <a16:creationId xmlns:a16="http://schemas.microsoft.com/office/drawing/2014/main" id="{CD1C5433-6583-1F6D-F766-B63FCD2552FF}"/>
            </a:ext>
          </a:extLst>
        </xdr:cNvPr>
        <xdr:cNvSpPr/>
      </xdr:nvSpPr>
      <xdr:spPr>
        <a:xfrm rot="19077887">
          <a:off x="13510526220" y="12979312"/>
          <a:ext cx="109107" cy="23567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533333</xdr:colOff>
      <xdr:row>119</xdr:row>
      <xdr:rowOff>186667</xdr:rowOff>
    </xdr:from>
    <xdr:to>
      <xdr:col>5</xdr:col>
      <xdr:colOff>210000</xdr:colOff>
      <xdr:row>122</xdr:row>
      <xdr:rowOff>80000</xdr:rowOff>
    </xdr:to>
    <xdr:cxnSp macro="">
      <xdr:nvCxnSpPr>
        <xdr:cNvPr id="10" name="Straight Connector 9">
          <a:extLst>
            <a:ext uri="{FF2B5EF4-FFF2-40B4-BE49-F238E27FC236}">
              <a16:creationId xmlns:a16="http://schemas.microsoft.com/office/drawing/2014/main" id="{9DC7D7D6-33E7-6449-46FF-ED8B7E9E3FA2}"/>
            </a:ext>
          </a:extLst>
        </xdr:cNvPr>
        <xdr:cNvCxnSpPr/>
      </xdr:nvCxnSpPr>
      <xdr:spPr>
        <a:xfrm flipH="1" flipV="1">
          <a:off x="13539850000" y="24596667"/>
          <a:ext cx="503333" cy="5033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203334</xdr:colOff>
      <xdr:row>119</xdr:row>
      <xdr:rowOff>186666</xdr:rowOff>
    </xdr:from>
    <xdr:to>
      <xdr:col>6</xdr:col>
      <xdr:colOff>30000</xdr:colOff>
      <xdr:row>119</xdr:row>
      <xdr:rowOff>186667</xdr:rowOff>
    </xdr:to>
    <xdr:cxnSp macro="">
      <xdr:nvCxnSpPr>
        <xdr:cNvPr id="11" name="Straight Connector 10">
          <a:extLst>
            <a:ext uri="{FF2B5EF4-FFF2-40B4-BE49-F238E27FC236}">
              <a16:creationId xmlns:a16="http://schemas.microsoft.com/office/drawing/2014/main" id="{8BC458D1-877A-34B7-517B-8EE478FC19B8}"/>
            </a:ext>
          </a:extLst>
        </xdr:cNvPr>
        <xdr:cNvCxnSpPr/>
      </xdr:nvCxnSpPr>
      <xdr:spPr>
        <a:xfrm flipH="1">
          <a:off x="13539203333" y="24596666"/>
          <a:ext cx="653333" cy="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683332</xdr:colOff>
      <xdr:row>143</xdr:row>
      <xdr:rowOff>120000</xdr:rowOff>
    </xdr:from>
    <xdr:to>
      <xdr:col>4</xdr:col>
      <xdr:colOff>776666</xdr:colOff>
      <xdr:row>144</xdr:row>
      <xdr:rowOff>83334</xdr:rowOff>
    </xdr:to>
    <xdr:sp macro="" textlink="">
      <xdr:nvSpPr>
        <xdr:cNvPr id="14" name="Down Arrow 13">
          <a:extLst>
            <a:ext uri="{FF2B5EF4-FFF2-40B4-BE49-F238E27FC236}">
              <a16:creationId xmlns:a16="http://schemas.microsoft.com/office/drawing/2014/main" id="{0688E76D-ADAC-89CF-F10C-9BEBF3E15216}"/>
            </a:ext>
          </a:extLst>
        </xdr:cNvPr>
        <xdr:cNvSpPr/>
      </xdr:nvSpPr>
      <xdr:spPr>
        <a:xfrm>
          <a:off x="13540110000" y="30846667"/>
          <a:ext cx="93334" cy="180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550000</xdr:colOff>
      <xdr:row>224</xdr:row>
      <xdr:rowOff>126666</xdr:rowOff>
    </xdr:from>
    <xdr:to>
      <xdr:col>0</xdr:col>
      <xdr:colOff>783333</xdr:colOff>
      <xdr:row>224</xdr:row>
      <xdr:rowOff>126666</xdr:rowOff>
    </xdr:to>
    <xdr:cxnSp macro="">
      <xdr:nvCxnSpPr>
        <xdr:cNvPr id="17" name="Straight Connector 16">
          <a:extLst>
            <a:ext uri="{FF2B5EF4-FFF2-40B4-BE49-F238E27FC236}">
              <a16:creationId xmlns:a16="http://schemas.microsoft.com/office/drawing/2014/main" id="{7DFB2902-0F67-D26A-C2E8-E587E8EE7965}"/>
            </a:ext>
          </a:extLst>
        </xdr:cNvPr>
        <xdr:cNvCxnSpPr/>
      </xdr:nvCxnSpPr>
      <xdr:spPr>
        <a:xfrm>
          <a:off x="13543410000" y="45913333"/>
          <a:ext cx="233333"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560000</xdr:colOff>
      <xdr:row>222</xdr:row>
      <xdr:rowOff>103333</xdr:rowOff>
    </xdr:from>
    <xdr:to>
      <xdr:col>0</xdr:col>
      <xdr:colOff>573333</xdr:colOff>
      <xdr:row>224</xdr:row>
      <xdr:rowOff>123332</xdr:rowOff>
    </xdr:to>
    <xdr:cxnSp macro="">
      <xdr:nvCxnSpPr>
        <xdr:cNvPr id="18" name="Straight Connector 17">
          <a:extLst>
            <a:ext uri="{FF2B5EF4-FFF2-40B4-BE49-F238E27FC236}">
              <a16:creationId xmlns:a16="http://schemas.microsoft.com/office/drawing/2014/main" id="{8097AD4E-FD47-8755-217B-471EDB4352FB}"/>
            </a:ext>
          </a:extLst>
        </xdr:cNvPr>
        <xdr:cNvCxnSpPr/>
      </xdr:nvCxnSpPr>
      <xdr:spPr>
        <a:xfrm flipH="1" flipV="1">
          <a:off x="13543620000" y="45483333"/>
          <a:ext cx="13333" cy="42666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576667</xdr:colOff>
      <xdr:row>222</xdr:row>
      <xdr:rowOff>106666</xdr:rowOff>
    </xdr:from>
    <xdr:to>
      <xdr:col>0</xdr:col>
      <xdr:colOff>810000</xdr:colOff>
      <xdr:row>222</xdr:row>
      <xdr:rowOff>106666</xdr:rowOff>
    </xdr:to>
    <xdr:cxnSp macro="">
      <xdr:nvCxnSpPr>
        <xdr:cNvPr id="21" name="Straight Connector 20">
          <a:extLst>
            <a:ext uri="{FF2B5EF4-FFF2-40B4-BE49-F238E27FC236}">
              <a16:creationId xmlns:a16="http://schemas.microsoft.com/office/drawing/2014/main" id="{BEC8F01A-B569-3D7A-FAA7-9D3593BA8137}"/>
            </a:ext>
          </a:extLst>
        </xdr:cNvPr>
        <xdr:cNvCxnSpPr/>
      </xdr:nvCxnSpPr>
      <xdr:spPr>
        <a:xfrm>
          <a:off x="13543383333" y="45486666"/>
          <a:ext cx="233333" cy="0"/>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6</xdr:col>
      <xdr:colOff>198038</xdr:colOff>
      <xdr:row>216</xdr:row>
      <xdr:rowOff>190668</xdr:rowOff>
    </xdr:from>
    <xdr:to>
      <xdr:col>7</xdr:col>
      <xdr:colOff>115816</xdr:colOff>
      <xdr:row>220</xdr:row>
      <xdr:rowOff>136667</xdr:rowOff>
    </xdr:to>
    <xdr:pic>
      <xdr:nvPicPr>
        <xdr:cNvPr id="23" name="Picture 22">
          <a:extLst>
            <a:ext uri="{FF2B5EF4-FFF2-40B4-BE49-F238E27FC236}">
              <a16:creationId xmlns:a16="http://schemas.microsoft.com/office/drawing/2014/main" id="{44E717D5-004F-F8FA-0FC2-2496FB84A0D2}"/>
            </a:ext>
          </a:extLst>
        </xdr:cNvPr>
        <xdr:cNvPicPr>
          <a:picLocks noChangeAspect="1"/>
        </xdr:cNvPicPr>
      </xdr:nvPicPr>
      <xdr:blipFill>
        <a:blip xmlns:r="http://schemas.openxmlformats.org/officeDocument/2006/relationships" r:embed="rId2"/>
        <a:stretch>
          <a:fillRect/>
        </a:stretch>
      </xdr:blipFill>
      <xdr:spPr>
        <a:xfrm>
          <a:off x="13538290851" y="44350668"/>
          <a:ext cx="744444" cy="759332"/>
        </a:xfrm>
        <a:prstGeom prst="rect">
          <a:avLst/>
        </a:prstGeom>
      </xdr:spPr>
    </xdr:pic>
    <xdr:clientData/>
  </xdr:twoCellAnchor>
  <xdr:twoCellAnchor>
    <xdr:from>
      <xdr:col>7</xdr:col>
      <xdr:colOff>233333</xdr:colOff>
      <xdr:row>216</xdr:row>
      <xdr:rowOff>63333</xdr:rowOff>
    </xdr:from>
    <xdr:to>
      <xdr:col>9</xdr:col>
      <xdr:colOff>119999</xdr:colOff>
      <xdr:row>225</xdr:row>
      <xdr:rowOff>13333</xdr:rowOff>
    </xdr:to>
    <xdr:sp macro="" textlink="">
      <xdr:nvSpPr>
        <xdr:cNvPr id="24" name="Rounded Rectangular Callout 23">
          <a:extLst>
            <a:ext uri="{FF2B5EF4-FFF2-40B4-BE49-F238E27FC236}">
              <a16:creationId xmlns:a16="http://schemas.microsoft.com/office/drawing/2014/main" id="{9B4BAD3F-2926-C184-BA92-94A62A57E3D7}"/>
            </a:ext>
          </a:extLst>
        </xdr:cNvPr>
        <xdr:cNvSpPr/>
      </xdr:nvSpPr>
      <xdr:spPr>
        <a:xfrm>
          <a:off x="13536546667" y="44223333"/>
          <a:ext cx="1626666" cy="1780000"/>
        </a:xfrm>
        <a:prstGeom prst="wedgeRoundRectCallout">
          <a:avLst>
            <a:gd name="adj1" fmla="val 59290"/>
            <a:gd name="adj2" fmla="val -1549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a:t>
          </a:r>
          <a:r>
            <a:rPr lang="he-IL" sz="1100" baseline="0"/>
            <a:t> המטרה לחשב מחיר אג״ח לנקודת זמן שאיננה בתחילת / סוף תקופה שלמה, עלינו להחשב בכך שחישוב ה- </a:t>
          </a:r>
          <a:r>
            <a:rPr lang="en-US" sz="1100" baseline="0"/>
            <a:t>NPV</a:t>
          </a:r>
          <a:r>
            <a:rPr lang="he-IL" sz="1100" baseline="0"/>
            <a:t> מקפיץ תקופת תשלום אחת אחורה - ולכן עשויה להידרש התאמה</a:t>
          </a:r>
          <a:endParaRPr lang="en-US" sz="1100"/>
        </a:p>
      </xdr:txBody>
    </xdr:sp>
    <xdr:clientData/>
  </xdr:twoCellAnchor>
  <xdr:twoCellAnchor>
    <xdr:from>
      <xdr:col>0</xdr:col>
      <xdr:colOff>123333</xdr:colOff>
      <xdr:row>222</xdr:row>
      <xdr:rowOff>196667</xdr:rowOff>
    </xdr:from>
    <xdr:to>
      <xdr:col>0</xdr:col>
      <xdr:colOff>340000</xdr:colOff>
      <xdr:row>223</xdr:row>
      <xdr:rowOff>200000</xdr:rowOff>
    </xdr:to>
    <xdr:sp macro="" textlink="">
      <xdr:nvSpPr>
        <xdr:cNvPr id="25" name="Oval 24">
          <a:extLst>
            <a:ext uri="{FF2B5EF4-FFF2-40B4-BE49-F238E27FC236}">
              <a16:creationId xmlns:a16="http://schemas.microsoft.com/office/drawing/2014/main" id="{7D8A1E29-BEF6-9790-49BB-C3E1A0C092AF}"/>
            </a:ext>
          </a:extLst>
        </xdr:cNvPr>
        <xdr:cNvSpPr/>
      </xdr:nvSpPr>
      <xdr:spPr>
        <a:xfrm>
          <a:off x="13543853333" y="45576667"/>
          <a:ext cx="216667" cy="206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0</xdr:col>
      <xdr:colOff>383620</xdr:colOff>
      <xdr:row>221</xdr:row>
      <xdr:rowOff>69712</xdr:rowOff>
    </xdr:from>
    <xdr:ext cx="172227" cy="852801"/>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445341D9-AD7D-7374-4C3B-5051E9EF5201}"/>
                </a:ext>
              </a:extLst>
            </xdr:cNvPr>
            <xdr:cNvSpPr txBox="1"/>
          </xdr:nvSpPr>
          <xdr:spPr>
            <a:xfrm rot="15990887" flipH="1">
              <a:off x="13543297199" y="45586666"/>
              <a:ext cx="852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445341D9-AD7D-7374-4C3B-5051E9EF5201}"/>
                </a:ext>
              </a:extLst>
            </xdr:cNvPr>
            <xdr:cNvSpPr txBox="1"/>
          </xdr:nvSpPr>
          <xdr:spPr>
            <a:xfrm rot="15990887" flipH="1">
              <a:off x="13543297199" y="45586666"/>
              <a:ext cx="852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a:t>
              </a:r>
              <a:endParaRPr lang="en-US" sz="1100"/>
            </a:p>
          </xdr:txBody>
        </xdr:sp>
      </mc:Fallback>
    </mc:AlternateContent>
    <xdr:clientData/>
  </xdr:oneCellAnchor>
  <xdr:twoCellAnchor>
    <xdr:from>
      <xdr:col>4</xdr:col>
      <xdr:colOff>366667</xdr:colOff>
      <xdr:row>222</xdr:row>
      <xdr:rowOff>120000</xdr:rowOff>
    </xdr:from>
    <xdr:to>
      <xdr:col>4</xdr:col>
      <xdr:colOff>600000</xdr:colOff>
      <xdr:row>222</xdr:row>
      <xdr:rowOff>120000</xdr:rowOff>
    </xdr:to>
    <xdr:cxnSp macro="">
      <xdr:nvCxnSpPr>
        <xdr:cNvPr id="27" name="Straight Connector 26">
          <a:extLst>
            <a:ext uri="{FF2B5EF4-FFF2-40B4-BE49-F238E27FC236}">
              <a16:creationId xmlns:a16="http://schemas.microsoft.com/office/drawing/2014/main" id="{C02261A0-8F00-CBAD-3203-AB897F58811A}"/>
            </a:ext>
          </a:extLst>
        </xdr:cNvPr>
        <xdr:cNvCxnSpPr/>
      </xdr:nvCxnSpPr>
      <xdr:spPr>
        <a:xfrm>
          <a:off x="13540286666" y="45500000"/>
          <a:ext cx="233333"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593333</xdr:colOff>
      <xdr:row>222</xdr:row>
      <xdr:rowOff>116666</xdr:rowOff>
    </xdr:from>
    <xdr:to>
      <xdr:col>4</xdr:col>
      <xdr:colOff>593333</xdr:colOff>
      <xdr:row>223</xdr:row>
      <xdr:rowOff>93334</xdr:rowOff>
    </xdr:to>
    <xdr:cxnSp macro="">
      <xdr:nvCxnSpPr>
        <xdr:cNvPr id="28" name="Straight Connector 27">
          <a:extLst>
            <a:ext uri="{FF2B5EF4-FFF2-40B4-BE49-F238E27FC236}">
              <a16:creationId xmlns:a16="http://schemas.microsoft.com/office/drawing/2014/main" id="{1EAADF92-0150-4205-76DF-92454D5A17EF}"/>
            </a:ext>
          </a:extLst>
        </xdr:cNvPr>
        <xdr:cNvCxnSpPr/>
      </xdr:nvCxnSpPr>
      <xdr:spPr>
        <a:xfrm flipV="1">
          <a:off x="13540293333" y="45496666"/>
          <a:ext cx="0" cy="1800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418604</xdr:colOff>
      <xdr:row>223</xdr:row>
      <xdr:rowOff>92476</xdr:rowOff>
    </xdr:from>
    <xdr:to>
      <xdr:col>4</xdr:col>
      <xdr:colOff>600213</xdr:colOff>
      <xdr:row>223</xdr:row>
      <xdr:rowOff>95782</xdr:rowOff>
    </xdr:to>
    <xdr:cxnSp macro="">
      <xdr:nvCxnSpPr>
        <xdr:cNvPr id="30" name="Straight Connector 29">
          <a:extLst>
            <a:ext uri="{FF2B5EF4-FFF2-40B4-BE49-F238E27FC236}">
              <a16:creationId xmlns:a16="http://schemas.microsoft.com/office/drawing/2014/main" id="{A357D79D-5B50-488E-F7D1-B0FAF48FA5C9}"/>
            </a:ext>
          </a:extLst>
        </xdr:cNvPr>
        <xdr:cNvCxnSpPr/>
      </xdr:nvCxnSpPr>
      <xdr:spPr>
        <a:xfrm flipH="1" flipV="1">
          <a:off x="13538610821" y="45439990"/>
          <a:ext cx="181609" cy="3306"/>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613332</xdr:colOff>
      <xdr:row>222</xdr:row>
      <xdr:rowOff>113334</xdr:rowOff>
    </xdr:from>
    <xdr:to>
      <xdr:col>5</xdr:col>
      <xdr:colOff>3333</xdr:colOff>
      <xdr:row>223</xdr:row>
      <xdr:rowOff>116667</xdr:rowOff>
    </xdr:to>
    <xdr:sp macro="" textlink="">
      <xdr:nvSpPr>
        <xdr:cNvPr id="32" name="Oval 31">
          <a:extLst>
            <a:ext uri="{FF2B5EF4-FFF2-40B4-BE49-F238E27FC236}">
              <a16:creationId xmlns:a16="http://schemas.microsoft.com/office/drawing/2014/main" id="{12470ECD-BD94-1C04-9FAD-9C9FCA21809C}"/>
            </a:ext>
          </a:extLst>
        </xdr:cNvPr>
        <xdr:cNvSpPr/>
      </xdr:nvSpPr>
      <xdr:spPr>
        <a:xfrm>
          <a:off x="13540056667" y="45493334"/>
          <a:ext cx="216667" cy="206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xdr:col>
      <xdr:colOff>556572</xdr:colOff>
      <xdr:row>232</xdr:row>
      <xdr:rowOff>3361</xdr:rowOff>
    </xdr:from>
    <xdr:to>
      <xdr:col>1</xdr:col>
      <xdr:colOff>773137</xdr:colOff>
      <xdr:row>233</xdr:row>
      <xdr:rowOff>6695</xdr:rowOff>
    </xdr:to>
    <xdr:sp macro="" textlink="">
      <xdr:nvSpPr>
        <xdr:cNvPr id="35" name="Oval 34">
          <a:extLst>
            <a:ext uri="{FF2B5EF4-FFF2-40B4-BE49-F238E27FC236}">
              <a16:creationId xmlns:a16="http://schemas.microsoft.com/office/drawing/2014/main" id="{43EB9AE1-F938-1FAF-BC30-2678F9365671}"/>
            </a:ext>
          </a:extLst>
        </xdr:cNvPr>
        <xdr:cNvSpPr/>
      </xdr:nvSpPr>
      <xdr:spPr>
        <a:xfrm>
          <a:off x="13540917590" y="47195568"/>
          <a:ext cx="216565" cy="2055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446984</xdr:colOff>
      <xdr:row>237</xdr:row>
      <xdr:rowOff>152542</xdr:rowOff>
    </xdr:from>
    <xdr:to>
      <xdr:col>2</xdr:col>
      <xdr:colOff>564051</xdr:colOff>
      <xdr:row>243</xdr:row>
      <xdr:rowOff>35475</xdr:rowOff>
    </xdr:to>
    <xdr:grpSp>
      <xdr:nvGrpSpPr>
        <xdr:cNvPr id="50" name="Group 49">
          <a:extLst>
            <a:ext uri="{FF2B5EF4-FFF2-40B4-BE49-F238E27FC236}">
              <a16:creationId xmlns:a16="http://schemas.microsoft.com/office/drawing/2014/main" id="{78FE188A-D4DF-3780-2205-FAF12429AA4D}"/>
            </a:ext>
          </a:extLst>
        </xdr:cNvPr>
        <xdr:cNvGrpSpPr/>
      </xdr:nvGrpSpPr>
      <xdr:grpSpPr>
        <a:xfrm>
          <a:off x="13540374609" y="48355782"/>
          <a:ext cx="943631" cy="1096173"/>
          <a:chOff x="13540300112" y="48355782"/>
          <a:chExt cx="943631" cy="1096173"/>
        </a:xfrm>
      </xdr:grpSpPr>
      <xdr:sp macro="" textlink="">
        <xdr:nvSpPr>
          <xdr:cNvPr id="36" name="Oval 35">
            <a:extLst>
              <a:ext uri="{FF2B5EF4-FFF2-40B4-BE49-F238E27FC236}">
                <a16:creationId xmlns:a16="http://schemas.microsoft.com/office/drawing/2014/main" id="{09698C0E-DF18-22C2-E944-64AD6D8F03C7}"/>
              </a:ext>
            </a:extLst>
          </xdr:cNvPr>
          <xdr:cNvSpPr/>
        </xdr:nvSpPr>
        <xdr:spPr>
          <a:xfrm>
            <a:off x="13540300112" y="48433827"/>
            <a:ext cx="943631" cy="1018128"/>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37" name="Oval 36">
            <a:extLst>
              <a:ext uri="{FF2B5EF4-FFF2-40B4-BE49-F238E27FC236}">
                <a16:creationId xmlns:a16="http://schemas.microsoft.com/office/drawing/2014/main" id="{4B20B670-76C6-85AB-0A84-F514C9EB8004}"/>
              </a:ext>
            </a:extLst>
          </xdr:cNvPr>
          <xdr:cNvSpPr/>
        </xdr:nvSpPr>
        <xdr:spPr>
          <a:xfrm>
            <a:off x="13540530698" y="48636034"/>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a:t>
            </a:r>
            <a:endParaRPr lang="en-US" sz="1100"/>
          </a:p>
        </xdr:txBody>
      </xdr:sp>
      <xdr:sp macro="" textlink="">
        <xdr:nvSpPr>
          <xdr:cNvPr id="38" name="Oval 37">
            <a:extLst>
              <a:ext uri="{FF2B5EF4-FFF2-40B4-BE49-F238E27FC236}">
                <a16:creationId xmlns:a16="http://schemas.microsoft.com/office/drawing/2014/main" id="{148DA25B-A7CA-D764-6250-90D9BFC82FCE}"/>
              </a:ext>
            </a:extLst>
          </xdr:cNvPr>
          <xdr:cNvSpPr/>
        </xdr:nvSpPr>
        <xdr:spPr>
          <a:xfrm>
            <a:off x="13540853520" y="48632487"/>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ססס</a:t>
            </a:r>
            <a:endParaRPr lang="en-US" sz="1100"/>
          </a:p>
        </xdr:txBody>
      </xdr:sp>
      <xdr:sp macro="" textlink="">
        <xdr:nvSpPr>
          <xdr:cNvPr id="39" name="Cloud Callout 38">
            <a:extLst>
              <a:ext uri="{FF2B5EF4-FFF2-40B4-BE49-F238E27FC236}">
                <a16:creationId xmlns:a16="http://schemas.microsoft.com/office/drawing/2014/main" id="{FF204C70-4E36-6ECB-1E0D-4160C2E1012B}"/>
              </a:ext>
            </a:extLst>
          </xdr:cNvPr>
          <xdr:cNvSpPr/>
        </xdr:nvSpPr>
        <xdr:spPr>
          <a:xfrm>
            <a:off x="13540452654" y="48355782"/>
            <a:ext cx="553407" cy="198659"/>
          </a:xfrm>
          <a:prstGeom prst="cloudCallout">
            <a:avLst/>
          </a:prstGeom>
          <a:solidFill>
            <a:schemeClr val="tx1">
              <a:lumMod val="95000"/>
              <a:lumOff val="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0" name="Oval 39">
            <a:extLst>
              <a:ext uri="{FF2B5EF4-FFF2-40B4-BE49-F238E27FC236}">
                <a16:creationId xmlns:a16="http://schemas.microsoft.com/office/drawing/2014/main" id="{2A7EAD9D-561C-9FF6-ACD3-861FA46309A5}"/>
              </a:ext>
            </a:extLst>
          </xdr:cNvPr>
          <xdr:cNvSpPr/>
        </xdr:nvSpPr>
        <xdr:spPr>
          <a:xfrm>
            <a:off x="13540445559" y="48557988"/>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1" name="Oval 40">
            <a:extLst>
              <a:ext uri="{FF2B5EF4-FFF2-40B4-BE49-F238E27FC236}">
                <a16:creationId xmlns:a16="http://schemas.microsoft.com/office/drawing/2014/main" id="{D38019B4-574F-F132-B59D-E80933006AFB}"/>
              </a:ext>
            </a:extLst>
          </xdr:cNvPr>
          <xdr:cNvSpPr/>
        </xdr:nvSpPr>
        <xdr:spPr>
          <a:xfrm>
            <a:off x="13540796760" y="48554440"/>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2" name="Freeform 41">
            <a:extLst>
              <a:ext uri="{FF2B5EF4-FFF2-40B4-BE49-F238E27FC236}">
                <a16:creationId xmlns:a16="http://schemas.microsoft.com/office/drawing/2014/main" id="{36702752-C086-7699-44F1-4429E9885470}"/>
              </a:ext>
            </a:extLst>
          </xdr:cNvPr>
          <xdr:cNvSpPr/>
        </xdr:nvSpPr>
        <xdr:spPr>
          <a:xfrm>
            <a:off x="13540679693" y="48824050"/>
            <a:ext cx="180922" cy="205754"/>
          </a:xfrm>
          <a:custGeom>
            <a:avLst/>
            <a:gdLst>
              <a:gd name="connsiteX0" fmla="*/ 60307 w 180922"/>
              <a:gd name="connsiteY0" fmla="*/ 21285 h 205754"/>
              <a:gd name="connsiteX1" fmla="*/ 39022 w 180922"/>
              <a:gd name="connsiteY1" fmla="*/ 39023 h 205754"/>
              <a:gd name="connsiteX2" fmla="*/ 28380 w 180922"/>
              <a:gd name="connsiteY2" fmla="*/ 46118 h 205754"/>
              <a:gd name="connsiteX3" fmla="*/ 14190 w 180922"/>
              <a:gd name="connsiteY3" fmla="*/ 67403 h 205754"/>
              <a:gd name="connsiteX4" fmla="*/ 7095 w 180922"/>
              <a:gd name="connsiteY4" fmla="*/ 78045 h 205754"/>
              <a:gd name="connsiteX5" fmla="*/ 0 w 180922"/>
              <a:gd name="connsiteY5" fmla="*/ 88687 h 205754"/>
              <a:gd name="connsiteX6" fmla="*/ 3547 w 180922"/>
              <a:gd name="connsiteY6" fmla="*/ 166732 h 205754"/>
              <a:gd name="connsiteX7" fmla="*/ 7095 w 180922"/>
              <a:gd name="connsiteY7" fmla="*/ 177375 h 205754"/>
              <a:gd name="connsiteX8" fmla="*/ 24832 w 180922"/>
              <a:gd name="connsiteY8" fmla="*/ 198659 h 205754"/>
              <a:gd name="connsiteX9" fmla="*/ 46117 w 180922"/>
              <a:gd name="connsiteY9" fmla="*/ 205754 h 205754"/>
              <a:gd name="connsiteX10" fmla="*/ 113519 w 180922"/>
              <a:gd name="connsiteY10" fmla="*/ 202207 h 205754"/>
              <a:gd name="connsiteX11" fmla="*/ 127709 w 180922"/>
              <a:gd name="connsiteY11" fmla="*/ 198659 h 205754"/>
              <a:gd name="connsiteX12" fmla="*/ 148994 w 180922"/>
              <a:gd name="connsiteY12" fmla="*/ 191565 h 205754"/>
              <a:gd name="connsiteX13" fmla="*/ 163184 w 180922"/>
              <a:gd name="connsiteY13" fmla="*/ 173827 h 205754"/>
              <a:gd name="connsiteX14" fmla="*/ 170279 w 180922"/>
              <a:gd name="connsiteY14" fmla="*/ 163185 h 205754"/>
              <a:gd name="connsiteX15" fmla="*/ 177374 w 180922"/>
              <a:gd name="connsiteY15" fmla="*/ 141900 h 205754"/>
              <a:gd name="connsiteX16" fmla="*/ 180922 w 180922"/>
              <a:gd name="connsiteY16" fmla="*/ 131257 h 205754"/>
              <a:gd name="connsiteX17" fmla="*/ 173827 w 180922"/>
              <a:gd name="connsiteY17" fmla="*/ 102877 h 205754"/>
              <a:gd name="connsiteX18" fmla="*/ 166732 w 180922"/>
              <a:gd name="connsiteY18" fmla="*/ 92235 h 205754"/>
              <a:gd name="connsiteX19" fmla="*/ 163184 w 180922"/>
              <a:gd name="connsiteY19" fmla="*/ 78045 h 205754"/>
              <a:gd name="connsiteX20" fmla="*/ 152542 w 180922"/>
              <a:gd name="connsiteY20" fmla="*/ 67403 h 205754"/>
              <a:gd name="connsiteX21" fmla="*/ 145447 w 180922"/>
              <a:gd name="connsiteY21" fmla="*/ 53213 h 205754"/>
              <a:gd name="connsiteX22" fmla="*/ 138352 w 180922"/>
              <a:gd name="connsiteY22" fmla="*/ 42570 h 205754"/>
              <a:gd name="connsiteX23" fmla="*/ 127709 w 180922"/>
              <a:gd name="connsiteY23" fmla="*/ 3548 h 205754"/>
              <a:gd name="connsiteX24" fmla="*/ 124162 w 180922"/>
              <a:gd name="connsiteY24" fmla="*/ 0 h 20575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Lst>
            <a:rect l="l" t="t" r="r" b="b"/>
            <a:pathLst>
              <a:path w="180922" h="205754">
                <a:moveTo>
                  <a:pt x="60307" y="21285"/>
                </a:moveTo>
                <a:cubicBezTo>
                  <a:pt x="53212" y="27198"/>
                  <a:pt x="46312" y="33353"/>
                  <a:pt x="39022" y="39023"/>
                </a:cubicBezTo>
                <a:cubicBezTo>
                  <a:pt x="35657" y="41641"/>
                  <a:pt x="31187" y="42909"/>
                  <a:pt x="28380" y="46118"/>
                </a:cubicBezTo>
                <a:cubicBezTo>
                  <a:pt x="22765" y="52535"/>
                  <a:pt x="18920" y="60308"/>
                  <a:pt x="14190" y="67403"/>
                </a:cubicBezTo>
                <a:lnTo>
                  <a:pt x="7095" y="78045"/>
                </a:lnTo>
                <a:lnTo>
                  <a:pt x="0" y="88687"/>
                </a:lnTo>
                <a:cubicBezTo>
                  <a:pt x="1182" y="114702"/>
                  <a:pt x="1470" y="140773"/>
                  <a:pt x="3547" y="166732"/>
                </a:cubicBezTo>
                <a:cubicBezTo>
                  <a:pt x="3845" y="170460"/>
                  <a:pt x="5423" y="174030"/>
                  <a:pt x="7095" y="177375"/>
                </a:cubicBezTo>
                <a:cubicBezTo>
                  <a:pt x="9982" y="183149"/>
                  <a:pt x="19401" y="195642"/>
                  <a:pt x="24832" y="198659"/>
                </a:cubicBezTo>
                <a:cubicBezTo>
                  <a:pt x="31370" y="202291"/>
                  <a:pt x="46117" y="205754"/>
                  <a:pt x="46117" y="205754"/>
                </a:cubicBezTo>
                <a:cubicBezTo>
                  <a:pt x="68584" y="204572"/>
                  <a:pt x="91105" y="204156"/>
                  <a:pt x="113519" y="202207"/>
                </a:cubicBezTo>
                <a:cubicBezTo>
                  <a:pt x="118376" y="201785"/>
                  <a:pt x="123039" y="200060"/>
                  <a:pt x="127709" y="198659"/>
                </a:cubicBezTo>
                <a:cubicBezTo>
                  <a:pt x="134872" y="196510"/>
                  <a:pt x="148994" y="191565"/>
                  <a:pt x="148994" y="191565"/>
                </a:cubicBezTo>
                <a:cubicBezTo>
                  <a:pt x="166936" y="179604"/>
                  <a:pt x="154616" y="190963"/>
                  <a:pt x="163184" y="173827"/>
                </a:cubicBezTo>
                <a:cubicBezTo>
                  <a:pt x="165091" y="170014"/>
                  <a:pt x="168547" y="167081"/>
                  <a:pt x="170279" y="163185"/>
                </a:cubicBezTo>
                <a:cubicBezTo>
                  <a:pt x="173316" y="156351"/>
                  <a:pt x="175009" y="148995"/>
                  <a:pt x="177374" y="141900"/>
                </a:cubicBezTo>
                <a:lnTo>
                  <a:pt x="180922" y="131257"/>
                </a:lnTo>
                <a:cubicBezTo>
                  <a:pt x="179574" y="124517"/>
                  <a:pt x="177461" y="110146"/>
                  <a:pt x="173827" y="102877"/>
                </a:cubicBezTo>
                <a:cubicBezTo>
                  <a:pt x="171920" y="99064"/>
                  <a:pt x="169097" y="95782"/>
                  <a:pt x="166732" y="92235"/>
                </a:cubicBezTo>
                <a:cubicBezTo>
                  <a:pt x="165549" y="87505"/>
                  <a:pt x="165603" y="82278"/>
                  <a:pt x="163184" y="78045"/>
                </a:cubicBezTo>
                <a:cubicBezTo>
                  <a:pt x="160695" y="73689"/>
                  <a:pt x="155458" y="71485"/>
                  <a:pt x="152542" y="67403"/>
                </a:cubicBezTo>
                <a:cubicBezTo>
                  <a:pt x="149468" y="63100"/>
                  <a:pt x="148071" y="57805"/>
                  <a:pt x="145447" y="53213"/>
                </a:cubicBezTo>
                <a:cubicBezTo>
                  <a:pt x="143332" y="49511"/>
                  <a:pt x="140259" y="46384"/>
                  <a:pt x="138352" y="42570"/>
                </a:cubicBezTo>
                <a:cubicBezTo>
                  <a:pt x="132229" y="30324"/>
                  <a:pt x="133832" y="15794"/>
                  <a:pt x="127709" y="3548"/>
                </a:cubicBezTo>
                <a:cubicBezTo>
                  <a:pt x="126961" y="2052"/>
                  <a:pt x="125344" y="1183"/>
                  <a:pt x="124162"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3" name="Freeform 42">
            <a:extLst>
              <a:ext uri="{FF2B5EF4-FFF2-40B4-BE49-F238E27FC236}">
                <a16:creationId xmlns:a16="http://schemas.microsoft.com/office/drawing/2014/main" id="{B272ED65-983F-2EFF-952E-328503D8D3E2}"/>
              </a:ext>
            </a:extLst>
          </xdr:cNvPr>
          <xdr:cNvSpPr/>
        </xdr:nvSpPr>
        <xdr:spPr>
          <a:xfrm>
            <a:off x="13540537793" y="49090112"/>
            <a:ext cx="478922" cy="188087"/>
          </a:xfrm>
          <a:custGeom>
            <a:avLst/>
            <a:gdLst>
              <a:gd name="connsiteX0" fmla="*/ 329916 w 478922"/>
              <a:gd name="connsiteY0" fmla="*/ 180922 h 188087"/>
              <a:gd name="connsiteX1" fmla="*/ 312179 w 478922"/>
              <a:gd name="connsiteY1" fmla="*/ 184469 h 188087"/>
              <a:gd name="connsiteX2" fmla="*/ 102877 w 478922"/>
              <a:gd name="connsiteY2" fmla="*/ 180922 h 188087"/>
              <a:gd name="connsiteX3" fmla="*/ 81592 w 478922"/>
              <a:gd name="connsiteY3" fmla="*/ 177374 h 188087"/>
              <a:gd name="connsiteX4" fmla="*/ 49665 w 478922"/>
              <a:gd name="connsiteY4" fmla="*/ 159637 h 188087"/>
              <a:gd name="connsiteX5" fmla="*/ 39023 w 478922"/>
              <a:gd name="connsiteY5" fmla="*/ 152542 h 188087"/>
              <a:gd name="connsiteX6" fmla="*/ 17738 w 478922"/>
              <a:gd name="connsiteY6" fmla="*/ 141899 h 188087"/>
              <a:gd name="connsiteX7" fmla="*/ 14190 w 478922"/>
              <a:gd name="connsiteY7" fmla="*/ 120614 h 188087"/>
              <a:gd name="connsiteX8" fmla="*/ 3548 w 478922"/>
              <a:gd name="connsiteY8" fmla="*/ 99329 h 188087"/>
              <a:gd name="connsiteX9" fmla="*/ 0 w 478922"/>
              <a:gd name="connsiteY9" fmla="*/ 78044 h 188087"/>
              <a:gd name="connsiteX10" fmla="*/ 24833 w 478922"/>
              <a:gd name="connsiteY10" fmla="*/ 49665 h 188087"/>
              <a:gd name="connsiteX11" fmla="*/ 46118 w 478922"/>
              <a:gd name="connsiteY11" fmla="*/ 31927 h 188087"/>
              <a:gd name="connsiteX12" fmla="*/ 60308 w 478922"/>
              <a:gd name="connsiteY12" fmla="*/ 28380 h 188087"/>
              <a:gd name="connsiteX13" fmla="*/ 109972 w 478922"/>
              <a:gd name="connsiteY13" fmla="*/ 21285 h 188087"/>
              <a:gd name="connsiteX14" fmla="*/ 120615 w 478922"/>
              <a:gd name="connsiteY14" fmla="*/ 17737 h 188087"/>
              <a:gd name="connsiteX15" fmla="*/ 131257 w 478922"/>
              <a:gd name="connsiteY15" fmla="*/ 10642 h 188087"/>
              <a:gd name="connsiteX16" fmla="*/ 148995 w 478922"/>
              <a:gd name="connsiteY16" fmla="*/ 7095 h 188087"/>
              <a:gd name="connsiteX17" fmla="*/ 223492 w 478922"/>
              <a:gd name="connsiteY17" fmla="*/ 0 h 188087"/>
              <a:gd name="connsiteX18" fmla="*/ 475363 w 478922"/>
              <a:gd name="connsiteY18" fmla="*/ 3547 h 188087"/>
              <a:gd name="connsiteX19" fmla="*/ 478911 w 478922"/>
              <a:gd name="connsiteY19" fmla="*/ 14190 h 188087"/>
              <a:gd name="connsiteX20" fmla="*/ 468268 w 478922"/>
              <a:gd name="connsiteY20" fmla="*/ 56760 h 188087"/>
              <a:gd name="connsiteX21" fmla="*/ 446984 w 478922"/>
              <a:gd name="connsiteY21" fmla="*/ 78044 h 188087"/>
              <a:gd name="connsiteX22" fmla="*/ 422151 w 478922"/>
              <a:gd name="connsiteY22" fmla="*/ 102877 h 188087"/>
              <a:gd name="connsiteX23" fmla="*/ 407961 w 478922"/>
              <a:gd name="connsiteY23" fmla="*/ 117067 h 188087"/>
              <a:gd name="connsiteX24" fmla="*/ 372486 w 478922"/>
              <a:gd name="connsiteY24" fmla="*/ 138352 h 188087"/>
              <a:gd name="connsiteX25" fmla="*/ 358296 w 478922"/>
              <a:gd name="connsiteY25" fmla="*/ 145447 h 188087"/>
              <a:gd name="connsiteX26" fmla="*/ 337011 w 478922"/>
              <a:gd name="connsiteY26" fmla="*/ 156089 h 188087"/>
              <a:gd name="connsiteX27" fmla="*/ 312179 w 478922"/>
              <a:gd name="connsiteY27" fmla="*/ 170279 h 188087"/>
              <a:gd name="connsiteX28" fmla="*/ 329916 w 478922"/>
              <a:gd name="connsiteY28" fmla="*/ 180922 h 1880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478922" h="188087">
                <a:moveTo>
                  <a:pt x="329916" y="180922"/>
                </a:moveTo>
                <a:cubicBezTo>
                  <a:pt x="329916" y="183287"/>
                  <a:pt x="318184" y="183923"/>
                  <a:pt x="312179" y="184469"/>
                </a:cubicBezTo>
                <a:cubicBezTo>
                  <a:pt x="227701" y="192148"/>
                  <a:pt x="209110" y="185980"/>
                  <a:pt x="102877" y="180922"/>
                </a:cubicBezTo>
                <a:cubicBezTo>
                  <a:pt x="95782" y="179739"/>
                  <a:pt x="88482" y="179441"/>
                  <a:pt x="81592" y="177374"/>
                </a:cubicBezTo>
                <a:cubicBezTo>
                  <a:pt x="75081" y="175420"/>
                  <a:pt x="53885" y="162274"/>
                  <a:pt x="49665" y="159637"/>
                </a:cubicBezTo>
                <a:cubicBezTo>
                  <a:pt x="46050" y="157377"/>
                  <a:pt x="42836" y="154449"/>
                  <a:pt x="39023" y="152542"/>
                </a:cubicBezTo>
                <a:cubicBezTo>
                  <a:pt x="9649" y="137854"/>
                  <a:pt x="48235" y="162231"/>
                  <a:pt x="17738" y="141899"/>
                </a:cubicBezTo>
                <a:cubicBezTo>
                  <a:pt x="16555" y="134804"/>
                  <a:pt x="16465" y="127438"/>
                  <a:pt x="14190" y="120614"/>
                </a:cubicBezTo>
                <a:cubicBezTo>
                  <a:pt x="1432" y="82341"/>
                  <a:pt x="11591" y="135523"/>
                  <a:pt x="3548" y="99329"/>
                </a:cubicBezTo>
                <a:cubicBezTo>
                  <a:pt x="1988" y="92307"/>
                  <a:pt x="1183" y="85139"/>
                  <a:pt x="0" y="78044"/>
                </a:cubicBezTo>
                <a:cubicBezTo>
                  <a:pt x="7227" y="49138"/>
                  <a:pt x="-3326" y="77827"/>
                  <a:pt x="24833" y="49665"/>
                </a:cubicBezTo>
                <a:cubicBezTo>
                  <a:pt x="31227" y="43271"/>
                  <a:pt x="37473" y="35632"/>
                  <a:pt x="46118" y="31927"/>
                </a:cubicBezTo>
                <a:cubicBezTo>
                  <a:pt x="50599" y="30007"/>
                  <a:pt x="55549" y="29438"/>
                  <a:pt x="60308" y="28380"/>
                </a:cubicBezTo>
                <a:cubicBezTo>
                  <a:pt x="82906" y="23358"/>
                  <a:pt x="82066" y="24385"/>
                  <a:pt x="109972" y="21285"/>
                </a:cubicBezTo>
                <a:cubicBezTo>
                  <a:pt x="113520" y="20102"/>
                  <a:pt x="117270" y="19409"/>
                  <a:pt x="120615" y="17737"/>
                </a:cubicBezTo>
                <a:cubicBezTo>
                  <a:pt x="124428" y="15830"/>
                  <a:pt x="127265" y="12139"/>
                  <a:pt x="131257" y="10642"/>
                </a:cubicBezTo>
                <a:cubicBezTo>
                  <a:pt x="136903" y="8525"/>
                  <a:pt x="143063" y="8174"/>
                  <a:pt x="148995" y="7095"/>
                </a:cubicBezTo>
                <a:cubicBezTo>
                  <a:pt x="182716" y="964"/>
                  <a:pt x="175705" y="3185"/>
                  <a:pt x="223492" y="0"/>
                </a:cubicBezTo>
                <a:lnTo>
                  <a:pt x="475363" y="3547"/>
                </a:lnTo>
                <a:cubicBezTo>
                  <a:pt x="479097" y="3754"/>
                  <a:pt x="478911" y="10450"/>
                  <a:pt x="478911" y="14190"/>
                </a:cubicBezTo>
                <a:cubicBezTo>
                  <a:pt x="478911" y="33556"/>
                  <a:pt x="479702" y="43896"/>
                  <a:pt x="468268" y="56760"/>
                </a:cubicBezTo>
                <a:cubicBezTo>
                  <a:pt x="461602" y="64259"/>
                  <a:pt x="454079" y="70949"/>
                  <a:pt x="446984" y="78044"/>
                </a:cubicBezTo>
                <a:lnTo>
                  <a:pt x="422151" y="102877"/>
                </a:lnTo>
                <a:cubicBezTo>
                  <a:pt x="417421" y="107607"/>
                  <a:pt x="413697" y="113625"/>
                  <a:pt x="407961" y="117067"/>
                </a:cubicBezTo>
                <a:cubicBezTo>
                  <a:pt x="396136" y="124162"/>
                  <a:pt x="384820" y="132185"/>
                  <a:pt x="372486" y="138352"/>
                </a:cubicBezTo>
                <a:cubicBezTo>
                  <a:pt x="367756" y="140717"/>
                  <a:pt x="362888" y="142823"/>
                  <a:pt x="358296" y="145447"/>
                </a:cubicBezTo>
                <a:cubicBezTo>
                  <a:pt x="339042" y="156450"/>
                  <a:pt x="356524" y="149586"/>
                  <a:pt x="337011" y="156089"/>
                </a:cubicBezTo>
                <a:cubicBezTo>
                  <a:pt x="334817" y="157735"/>
                  <a:pt x="318952" y="171973"/>
                  <a:pt x="312179" y="170279"/>
                </a:cubicBezTo>
                <a:cubicBezTo>
                  <a:pt x="309614" y="169638"/>
                  <a:pt x="329916" y="178557"/>
                  <a:pt x="329916" y="180922"/>
                </a:cubicBezTo>
                <a:close/>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4" name="Freeform 43">
            <a:extLst>
              <a:ext uri="{FF2B5EF4-FFF2-40B4-BE49-F238E27FC236}">
                <a16:creationId xmlns:a16="http://schemas.microsoft.com/office/drawing/2014/main" id="{33AE95F7-1F01-76FE-C80E-AF020848C43D}"/>
              </a:ext>
            </a:extLst>
          </xdr:cNvPr>
          <xdr:cNvSpPr/>
        </xdr:nvSpPr>
        <xdr:spPr>
          <a:xfrm>
            <a:off x="13540637123" y="49114944"/>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5" name="Freeform 44">
            <a:extLst>
              <a:ext uri="{FF2B5EF4-FFF2-40B4-BE49-F238E27FC236}">
                <a16:creationId xmlns:a16="http://schemas.microsoft.com/office/drawing/2014/main" id="{178DAF50-08C0-3922-52D8-1ADF002605FB}"/>
              </a:ext>
            </a:extLst>
          </xdr:cNvPr>
          <xdr:cNvSpPr/>
        </xdr:nvSpPr>
        <xdr:spPr>
          <a:xfrm>
            <a:off x="13540708073" y="49107849"/>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6" name="Freeform 45">
            <a:extLst>
              <a:ext uri="{FF2B5EF4-FFF2-40B4-BE49-F238E27FC236}">
                <a16:creationId xmlns:a16="http://schemas.microsoft.com/office/drawing/2014/main" id="{AC83D76C-56AC-9604-5C96-8A1B96793B78}"/>
              </a:ext>
            </a:extLst>
          </xdr:cNvPr>
          <xdr:cNvSpPr/>
        </xdr:nvSpPr>
        <xdr:spPr>
          <a:xfrm>
            <a:off x="13540793212" y="49083017"/>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7" name="Freeform 46">
            <a:extLst>
              <a:ext uri="{FF2B5EF4-FFF2-40B4-BE49-F238E27FC236}">
                <a16:creationId xmlns:a16="http://schemas.microsoft.com/office/drawing/2014/main" id="{1247FF18-8B8F-A77E-7F00-45D041B23510}"/>
              </a:ext>
            </a:extLst>
          </xdr:cNvPr>
          <xdr:cNvSpPr/>
        </xdr:nvSpPr>
        <xdr:spPr>
          <a:xfrm>
            <a:off x="13540849972" y="49079470"/>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48" name="Freeform 47">
            <a:extLst>
              <a:ext uri="{FF2B5EF4-FFF2-40B4-BE49-F238E27FC236}">
                <a16:creationId xmlns:a16="http://schemas.microsoft.com/office/drawing/2014/main" id="{CA0A0EF0-FF8D-2BE6-5B7B-69C7A79C7F06}"/>
              </a:ext>
            </a:extLst>
          </xdr:cNvPr>
          <xdr:cNvSpPr/>
        </xdr:nvSpPr>
        <xdr:spPr>
          <a:xfrm rot="6112797">
            <a:off x="13540704581" y="48977995"/>
            <a:ext cx="45719" cy="39227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grpSp>
    <xdr:clientData/>
  </xdr:twoCellAnchor>
  <xdr:twoCellAnchor>
    <xdr:from>
      <xdr:col>2</xdr:col>
      <xdr:colOff>606621</xdr:colOff>
      <xdr:row>237</xdr:row>
      <xdr:rowOff>120615</xdr:rowOff>
    </xdr:from>
    <xdr:to>
      <xdr:col>6</xdr:col>
      <xdr:colOff>773353</xdr:colOff>
      <xdr:row>241</xdr:row>
      <xdr:rowOff>60307</xdr:rowOff>
    </xdr:to>
    <xdr:sp macro="" textlink="">
      <xdr:nvSpPr>
        <xdr:cNvPr id="49" name="Rounded Rectangular Callout 48">
          <a:extLst>
            <a:ext uri="{FF2B5EF4-FFF2-40B4-BE49-F238E27FC236}">
              <a16:creationId xmlns:a16="http://schemas.microsoft.com/office/drawing/2014/main" id="{9D6B2BC2-5EB3-EB06-1E2B-1BC36470D23B}"/>
            </a:ext>
          </a:extLst>
        </xdr:cNvPr>
        <xdr:cNvSpPr/>
      </xdr:nvSpPr>
      <xdr:spPr>
        <a:xfrm>
          <a:off x="13536784553" y="48323855"/>
          <a:ext cx="3472989" cy="748519"/>
        </a:xfrm>
        <a:prstGeom prst="wedgeRoundRectCallout">
          <a:avLst>
            <a:gd name="adj1" fmla="val 53937"/>
            <a:gd name="adj2" fmla="val 452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תסביר להם בבקשה מתי כופלים במדד הבסיס חלקי מדד עדכני, ומתי כופלים במדד (או שער דולר) עדכני חלקי</a:t>
          </a:r>
          <a:r>
            <a:rPr lang="he-IL" sz="1100" baseline="0"/>
            <a:t> שער דולר בסיסי?</a:t>
          </a:r>
          <a:endParaRPr lang="en-US" sz="1100"/>
        </a:p>
      </xdr:txBody>
    </xdr:sp>
    <xdr:clientData/>
  </xdr:twoCellAnchor>
  <xdr:twoCellAnchor>
    <xdr:from>
      <xdr:col>0</xdr:col>
      <xdr:colOff>798185</xdr:colOff>
      <xdr:row>257</xdr:row>
      <xdr:rowOff>60308</xdr:rowOff>
    </xdr:from>
    <xdr:to>
      <xdr:col>1</xdr:col>
      <xdr:colOff>372486</xdr:colOff>
      <xdr:row>262</xdr:row>
      <xdr:rowOff>28380</xdr:rowOff>
    </xdr:to>
    <xdr:grpSp>
      <xdr:nvGrpSpPr>
        <xdr:cNvPr id="51" name="Group 50">
          <a:extLst>
            <a:ext uri="{FF2B5EF4-FFF2-40B4-BE49-F238E27FC236}">
              <a16:creationId xmlns:a16="http://schemas.microsoft.com/office/drawing/2014/main" id="{9041C275-56A1-8B4E-8DFE-DA4F36147514}"/>
            </a:ext>
          </a:extLst>
        </xdr:cNvPr>
        <xdr:cNvGrpSpPr/>
      </xdr:nvGrpSpPr>
      <xdr:grpSpPr>
        <a:xfrm>
          <a:off x="13541392738" y="52307682"/>
          <a:ext cx="400865" cy="979106"/>
          <a:chOff x="13540300112" y="48355782"/>
          <a:chExt cx="943631" cy="1096173"/>
        </a:xfrm>
      </xdr:grpSpPr>
      <xdr:sp macro="" textlink="">
        <xdr:nvSpPr>
          <xdr:cNvPr id="52" name="Oval 51">
            <a:extLst>
              <a:ext uri="{FF2B5EF4-FFF2-40B4-BE49-F238E27FC236}">
                <a16:creationId xmlns:a16="http://schemas.microsoft.com/office/drawing/2014/main" id="{D4760081-2186-68B9-6658-A6ABCE760EEB}"/>
              </a:ext>
            </a:extLst>
          </xdr:cNvPr>
          <xdr:cNvSpPr/>
        </xdr:nvSpPr>
        <xdr:spPr>
          <a:xfrm>
            <a:off x="13540300112" y="48433827"/>
            <a:ext cx="943631" cy="1018128"/>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3" name="Oval 52">
            <a:extLst>
              <a:ext uri="{FF2B5EF4-FFF2-40B4-BE49-F238E27FC236}">
                <a16:creationId xmlns:a16="http://schemas.microsoft.com/office/drawing/2014/main" id="{F8E3007A-4522-B455-D38D-D2A92F7E8D75}"/>
              </a:ext>
            </a:extLst>
          </xdr:cNvPr>
          <xdr:cNvSpPr/>
        </xdr:nvSpPr>
        <xdr:spPr>
          <a:xfrm>
            <a:off x="13540530698" y="48636034"/>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a:t>
            </a:r>
            <a:endParaRPr lang="en-US" sz="1100"/>
          </a:p>
        </xdr:txBody>
      </xdr:sp>
      <xdr:sp macro="" textlink="">
        <xdr:nvSpPr>
          <xdr:cNvPr id="54" name="Oval 53">
            <a:extLst>
              <a:ext uri="{FF2B5EF4-FFF2-40B4-BE49-F238E27FC236}">
                <a16:creationId xmlns:a16="http://schemas.microsoft.com/office/drawing/2014/main" id="{C7D5FBA9-3D5E-05BA-B0C8-632D2B36D9CF}"/>
              </a:ext>
            </a:extLst>
          </xdr:cNvPr>
          <xdr:cNvSpPr/>
        </xdr:nvSpPr>
        <xdr:spPr>
          <a:xfrm>
            <a:off x="13540853520" y="48632487"/>
            <a:ext cx="177375" cy="85139"/>
          </a:xfrm>
          <a:prstGeom prst="ellipse">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ססס</a:t>
            </a:r>
            <a:endParaRPr lang="en-US" sz="1100"/>
          </a:p>
        </xdr:txBody>
      </xdr:sp>
      <xdr:sp macro="" textlink="">
        <xdr:nvSpPr>
          <xdr:cNvPr id="55" name="Cloud Callout 54">
            <a:extLst>
              <a:ext uri="{FF2B5EF4-FFF2-40B4-BE49-F238E27FC236}">
                <a16:creationId xmlns:a16="http://schemas.microsoft.com/office/drawing/2014/main" id="{E2509053-C2AA-3DDC-E319-A6BFE08387E4}"/>
              </a:ext>
            </a:extLst>
          </xdr:cNvPr>
          <xdr:cNvSpPr/>
        </xdr:nvSpPr>
        <xdr:spPr>
          <a:xfrm>
            <a:off x="13540452654" y="48355782"/>
            <a:ext cx="553407" cy="198659"/>
          </a:xfrm>
          <a:prstGeom prst="cloudCallout">
            <a:avLst/>
          </a:prstGeom>
          <a:solidFill>
            <a:schemeClr val="tx1">
              <a:lumMod val="95000"/>
              <a:lumOff val="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6" name="Oval 55">
            <a:extLst>
              <a:ext uri="{FF2B5EF4-FFF2-40B4-BE49-F238E27FC236}">
                <a16:creationId xmlns:a16="http://schemas.microsoft.com/office/drawing/2014/main" id="{9833934E-97B6-6E5E-DE96-1999937BC29F}"/>
              </a:ext>
            </a:extLst>
          </xdr:cNvPr>
          <xdr:cNvSpPr/>
        </xdr:nvSpPr>
        <xdr:spPr>
          <a:xfrm>
            <a:off x="13540445559" y="48557988"/>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7" name="Oval 56">
            <a:extLst>
              <a:ext uri="{FF2B5EF4-FFF2-40B4-BE49-F238E27FC236}">
                <a16:creationId xmlns:a16="http://schemas.microsoft.com/office/drawing/2014/main" id="{D3D66799-486D-0ECB-3A7B-B2870919DCAA}"/>
              </a:ext>
            </a:extLst>
          </xdr:cNvPr>
          <xdr:cNvSpPr/>
        </xdr:nvSpPr>
        <xdr:spPr>
          <a:xfrm>
            <a:off x="13540796760" y="48554440"/>
            <a:ext cx="297989" cy="30508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8" name="Freeform 57">
            <a:extLst>
              <a:ext uri="{FF2B5EF4-FFF2-40B4-BE49-F238E27FC236}">
                <a16:creationId xmlns:a16="http://schemas.microsoft.com/office/drawing/2014/main" id="{6D4F3145-BDBD-692B-1D86-A681E92765B5}"/>
              </a:ext>
            </a:extLst>
          </xdr:cNvPr>
          <xdr:cNvSpPr/>
        </xdr:nvSpPr>
        <xdr:spPr>
          <a:xfrm>
            <a:off x="13540679693" y="48824050"/>
            <a:ext cx="180922" cy="205754"/>
          </a:xfrm>
          <a:custGeom>
            <a:avLst/>
            <a:gdLst>
              <a:gd name="connsiteX0" fmla="*/ 60307 w 180922"/>
              <a:gd name="connsiteY0" fmla="*/ 21285 h 205754"/>
              <a:gd name="connsiteX1" fmla="*/ 39022 w 180922"/>
              <a:gd name="connsiteY1" fmla="*/ 39023 h 205754"/>
              <a:gd name="connsiteX2" fmla="*/ 28380 w 180922"/>
              <a:gd name="connsiteY2" fmla="*/ 46118 h 205754"/>
              <a:gd name="connsiteX3" fmla="*/ 14190 w 180922"/>
              <a:gd name="connsiteY3" fmla="*/ 67403 h 205754"/>
              <a:gd name="connsiteX4" fmla="*/ 7095 w 180922"/>
              <a:gd name="connsiteY4" fmla="*/ 78045 h 205754"/>
              <a:gd name="connsiteX5" fmla="*/ 0 w 180922"/>
              <a:gd name="connsiteY5" fmla="*/ 88687 h 205754"/>
              <a:gd name="connsiteX6" fmla="*/ 3547 w 180922"/>
              <a:gd name="connsiteY6" fmla="*/ 166732 h 205754"/>
              <a:gd name="connsiteX7" fmla="*/ 7095 w 180922"/>
              <a:gd name="connsiteY7" fmla="*/ 177375 h 205754"/>
              <a:gd name="connsiteX8" fmla="*/ 24832 w 180922"/>
              <a:gd name="connsiteY8" fmla="*/ 198659 h 205754"/>
              <a:gd name="connsiteX9" fmla="*/ 46117 w 180922"/>
              <a:gd name="connsiteY9" fmla="*/ 205754 h 205754"/>
              <a:gd name="connsiteX10" fmla="*/ 113519 w 180922"/>
              <a:gd name="connsiteY10" fmla="*/ 202207 h 205754"/>
              <a:gd name="connsiteX11" fmla="*/ 127709 w 180922"/>
              <a:gd name="connsiteY11" fmla="*/ 198659 h 205754"/>
              <a:gd name="connsiteX12" fmla="*/ 148994 w 180922"/>
              <a:gd name="connsiteY12" fmla="*/ 191565 h 205754"/>
              <a:gd name="connsiteX13" fmla="*/ 163184 w 180922"/>
              <a:gd name="connsiteY13" fmla="*/ 173827 h 205754"/>
              <a:gd name="connsiteX14" fmla="*/ 170279 w 180922"/>
              <a:gd name="connsiteY14" fmla="*/ 163185 h 205754"/>
              <a:gd name="connsiteX15" fmla="*/ 177374 w 180922"/>
              <a:gd name="connsiteY15" fmla="*/ 141900 h 205754"/>
              <a:gd name="connsiteX16" fmla="*/ 180922 w 180922"/>
              <a:gd name="connsiteY16" fmla="*/ 131257 h 205754"/>
              <a:gd name="connsiteX17" fmla="*/ 173827 w 180922"/>
              <a:gd name="connsiteY17" fmla="*/ 102877 h 205754"/>
              <a:gd name="connsiteX18" fmla="*/ 166732 w 180922"/>
              <a:gd name="connsiteY18" fmla="*/ 92235 h 205754"/>
              <a:gd name="connsiteX19" fmla="*/ 163184 w 180922"/>
              <a:gd name="connsiteY19" fmla="*/ 78045 h 205754"/>
              <a:gd name="connsiteX20" fmla="*/ 152542 w 180922"/>
              <a:gd name="connsiteY20" fmla="*/ 67403 h 205754"/>
              <a:gd name="connsiteX21" fmla="*/ 145447 w 180922"/>
              <a:gd name="connsiteY21" fmla="*/ 53213 h 205754"/>
              <a:gd name="connsiteX22" fmla="*/ 138352 w 180922"/>
              <a:gd name="connsiteY22" fmla="*/ 42570 h 205754"/>
              <a:gd name="connsiteX23" fmla="*/ 127709 w 180922"/>
              <a:gd name="connsiteY23" fmla="*/ 3548 h 205754"/>
              <a:gd name="connsiteX24" fmla="*/ 124162 w 180922"/>
              <a:gd name="connsiteY24" fmla="*/ 0 h 20575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Lst>
            <a:rect l="l" t="t" r="r" b="b"/>
            <a:pathLst>
              <a:path w="180922" h="205754">
                <a:moveTo>
                  <a:pt x="60307" y="21285"/>
                </a:moveTo>
                <a:cubicBezTo>
                  <a:pt x="53212" y="27198"/>
                  <a:pt x="46312" y="33353"/>
                  <a:pt x="39022" y="39023"/>
                </a:cubicBezTo>
                <a:cubicBezTo>
                  <a:pt x="35657" y="41641"/>
                  <a:pt x="31187" y="42909"/>
                  <a:pt x="28380" y="46118"/>
                </a:cubicBezTo>
                <a:cubicBezTo>
                  <a:pt x="22765" y="52535"/>
                  <a:pt x="18920" y="60308"/>
                  <a:pt x="14190" y="67403"/>
                </a:cubicBezTo>
                <a:lnTo>
                  <a:pt x="7095" y="78045"/>
                </a:lnTo>
                <a:lnTo>
                  <a:pt x="0" y="88687"/>
                </a:lnTo>
                <a:cubicBezTo>
                  <a:pt x="1182" y="114702"/>
                  <a:pt x="1470" y="140773"/>
                  <a:pt x="3547" y="166732"/>
                </a:cubicBezTo>
                <a:cubicBezTo>
                  <a:pt x="3845" y="170460"/>
                  <a:pt x="5423" y="174030"/>
                  <a:pt x="7095" y="177375"/>
                </a:cubicBezTo>
                <a:cubicBezTo>
                  <a:pt x="9982" y="183149"/>
                  <a:pt x="19401" y="195642"/>
                  <a:pt x="24832" y="198659"/>
                </a:cubicBezTo>
                <a:cubicBezTo>
                  <a:pt x="31370" y="202291"/>
                  <a:pt x="46117" y="205754"/>
                  <a:pt x="46117" y="205754"/>
                </a:cubicBezTo>
                <a:cubicBezTo>
                  <a:pt x="68584" y="204572"/>
                  <a:pt x="91105" y="204156"/>
                  <a:pt x="113519" y="202207"/>
                </a:cubicBezTo>
                <a:cubicBezTo>
                  <a:pt x="118376" y="201785"/>
                  <a:pt x="123039" y="200060"/>
                  <a:pt x="127709" y="198659"/>
                </a:cubicBezTo>
                <a:cubicBezTo>
                  <a:pt x="134872" y="196510"/>
                  <a:pt x="148994" y="191565"/>
                  <a:pt x="148994" y="191565"/>
                </a:cubicBezTo>
                <a:cubicBezTo>
                  <a:pt x="166936" y="179604"/>
                  <a:pt x="154616" y="190963"/>
                  <a:pt x="163184" y="173827"/>
                </a:cubicBezTo>
                <a:cubicBezTo>
                  <a:pt x="165091" y="170014"/>
                  <a:pt x="168547" y="167081"/>
                  <a:pt x="170279" y="163185"/>
                </a:cubicBezTo>
                <a:cubicBezTo>
                  <a:pt x="173316" y="156351"/>
                  <a:pt x="175009" y="148995"/>
                  <a:pt x="177374" y="141900"/>
                </a:cubicBezTo>
                <a:lnTo>
                  <a:pt x="180922" y="131257"/>
                </a:lnTo>
                <a:cubicBezTo>
                  <a:pt x="179574" y="124517"/>
                  <a:pt x="177461" y="110146"/>
                  <a:pt x="173827" y="102877"/>
                </a:cubicBezTo>
                <a:cubicBezTo>
                  <a:pt x="171920" y="99064"/>
                  <a:pt x="169097" y="95782"/>
                  <a:pt x="166732" y="92235"/>
                </a:cubicBezTo>
                <a:cubicBezTo>
                  <a:pt x="165549" y="87505"/>
                  <a:pt x="165603" y="82278"/>
                  <a:pt x="163184" y="78045"/>
                </a:cubicBezTo>
                <a:cubicBezTo>
                  <a:pt x="160695" y="73689"/>
                  <a:pt x="155458" y="71485"/>
                  <a:pt x="152542" y="67403"/>
                </a:cubicBezTo>
                <a:cubicBezTo>
                  <a:pt x="149468" y="63100"/>
                  <a:pt x="148071" y="57805"/>
                  <a:pt x="145447" y="53213"/>
                </a:cubicBezTo>
                <a:cubicBezTo>
                  <a:pt x="143332" y="49511"/>
                  <a:pt x="140259" y="46384"/>
                  <a:pt x="138352" y="42570"/>
                </a:cubicBezTo>
                <a:cubicBezTo>
                  <a:pt x="132229" y="30324"/>
                  <a:pt x="133832" y="15794"/>
                  <a:pt x="127709" y="3548"/>
                </a:cubicBezTo>
                <a:cubicBezTo>
                  <a:pt x="126961" y="2052"/>
                  <a:pt x="125344" y="1183"/>
                  <a:pt x="124162"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9" name="Freeform 58">
            <a:extLst>
              <a:ext uri="{FF2B5EF4-FFF2-40B4-BE49-F238E27FC236}">
                <a16:creationId xmlns:a16="http://schemas.microsoft.com/office/drawing/2014/main" id="{FFFB2909-09AF-3C6A-2412-BC3BDCBFF20F}"/>
              </a:ext>
            </a:extLst>
          </xdr:cNvPr>
          <xdr:cNvSpPr/>
        </xdr:nvSpPr>
        <xdr:spPr>
          <a:xfrm>
            <a:off x="13540537793" y="49090112"/>
            <a:ext cx="478922" cy="188087"/>
          </a:xfrm>
          <a:custGeom>
            <a:avLst/>
            <a:gdLst>
              <a:gd name="connsiteX0" fmla="*/ 329916 w 478922"/>
              <a:gd name="connsiteY0" fmla="*/ 180922 h 188087"/>
              <a:gd name="connsiteX1" fmla="*/ 312179 w 478922"/>
              <a:gd name="connsiteY1" fmla="*/ 184469 h 188087"/>
              <a:gd name="connsiteX2" fmla="*/ 102877 w 478922"/>
              <a:gd name="connsiteY2" fmla="*/ 180922 h 188087"/>
              <a:gd name="connsiteX3" fmla="*/ 81592 w 478922"/>
              <a:gd name="connsiteY3" fmla="*/ 177374 h 188087"/>
              <a:gd name="connsiteX4" fmla="*/ 49665 w 478922"/>
              <a:gd name="connsiteY4" fmla="*/ 159637 h 188087"/>
              <a:gd name="connsiteX5" fmla="*/ 39023 w 478922"/>
              <a:gd name="connsiteY5" fmla="*/ 152542 h 188087"/>
              <a:gd name="connsiteX6" fmla="*/ 17738 w 478922"/>
              <a:gd name="connsiteY6" fmla="*/ 141899 h 188087"/>
              <a:gd name="connsiteX7" fmla="*/ 14190 w 478922"/>
              <a:gd name="connsiteY7" fmla="*/ 120614 h 188087"/>
              <a:gd name="connsiteX8" fmla="*/ 3548 w 478922"/>
              <a:gd name="connsiteY8" fmla="*/ 99329 h 188087"/>
              <a:gd name="connsiteX9" fmla="*/ 0 w 478922"/>
              <a:gd name="connsiteY9" fmla="*/ 78044 h 188087"/>
              <a:gd name="connsiteX10" fmla="*/ 24833 w 478922"/>
              <a:gd name="connsiteY10" fmla="*/ 49665 h 188087"/>
              <a:gd name="connsiteX11" fmla="*/ 46118 w 478922"/>
              <a:gd name="connsiteY11" fmla="*/ 31927 h 188087"/>
              <a:gd name="connsiteX12" fmla="*/ 60308 w 478922"/>
              <a:gd name="connsiteY12" fmla="*/ 28380 h 188087"/>
              <a:gd name="connsiteX13" fmla="*/ 109972 w 478922"/>
              <a:gd name="connsiteY13" fmla="*/ 21285 h 188087"/>
              <a:gd name="connsiteX14" fmla="*/ 120615 w 478922"/>
              <a:gd name="connsiteY14" fmla="*/ 17737 h 188087"/>
              <a:gd name="connsiteX15" fmla="*/ 131257 w 478922"/>
              <a:gd name="connsiteY15" fmla="*/ 10642 h 188087"/>
              <a:gd name="connsiteX16" fmla="*/ 148995 w 478922"/>
              <a:gd name="connsiteY16" fmla="*/ 7095 h 188087"/>
              <a:gd name="connsiteX17" fmla="*/ 223492 w 478922"/>
              <a:gd name="connsiteY17" fmla="*/ 0 h 188087"/>
              <a:gd name="connsiteX18" fmla="*/ 475363 w 478922"/>
              <a:gd name="connsiteY18" fmla="*/ 3547 h 188087"/>
              <a:gd name="connsiteX19" fmla="*/ 478911 w 478922"/>
              <a:gd name="connsiteY19" fmla="*/ 14190 h 188087"/>
              <a:gd name="connsiteX20" fmla="*/ 468268 w 478922"/>
              <a:gd name="connsiteY20" fmla="*/ 56760 h 188087"/>
              <a:gd name="connsiteX21" fmla="*/ 446984 w 478922"/>
              <a:gd name="connsiteY21" fmla="*/ 78044 h 188087"/>
              <a:gd name="connsiteX22" fmla="*/ 422151 w 478922"/>
              <a:gd name="connsiteY22" fmla="*/ 102877 h 188087"/>
              <a:gd name="connsiteX23" fmla="*/ 407961 w 478922"/>
              <a:gd name="connsiteY23" fmla="*/ 117067 h 188087"/>
              <a:gd name="connsiteX24" fmla="*/ 372486 w 478922"/>
              <a:gd name="connsiteY24" fmla="*/ 138352 h 188087"/>
              <a:gd name="connsiteX25" fmla="*/ 358296 w 478922"/>
              <a:gd name="connsiteY25" fmla="*/ 145447 h 188087"/>
              <a:gd name="connsiteX26" fmla="*/ 337011 w 478922"/>
              <a:gd name="connsiteY26" fmla="*/ 156089 h 188087"/>
              <a:gd name="connsiteX27" fmla="*/ 312179 w 478922"/>
              <a:gd name="connsiteY27" fmla="*/ 170279 h 188087"/>
              <a:gd name="connsiteX28" fmla="*/ 329916 w 478922"/>
              <a:gd name="connsiteY28" fmla="*/ 180922 h 1880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478922" h="188087">
                <a:moveTo>
                  <a:pt x="329916" y="180922"/>
                </a:moveTo>
                <a:cubicBezTo>
                  <a:pt x="329916" y="183287"/>
                  <a:pt x="318184" y="183923"/>
                  <a:pt x="312179" y="184469"/>
                </a:cubicBezTo>
                <a:cubicBezTo>
                  <a:pt x="227701" y="192148"/>
                  <a:pt x="209110" y="185980"/>
                  <a:pt x="102877" y="180922"/>
                </a:cubicBezTo>
                <a:cubicBezTo>
                  <a:pt x="95782" y="179739"/>
                  <a:pt x="88482" y="179441"/>
                  <a:pt x="81592" y="177374"/>
                </a:cubicBezTo>
                <a:cubicBezTo>
                  <a:pt x="75081" y="175420"/>
                  <a:pt x="53885" y="162274"/>
                  <a:pt x="49665" y="159637"/>
                </a:cubicBezTo>
                <a:cubicBezTo>
                  <a:pt x="46050" y="157377"/>
                  <a:pt x="42836" y="154449"/>
                  <a:pt x="39023" y="152542"/>
                </a:cubicBezTo>
                <a:cubicBezTo>
                  <a:pt x="9649" y="137854"/>
                  <a:pt x="48235" y="162231"/>
                  <a:pt x="17738" y="141899"/>
                </a:cubicBezTo>
                <a:cubicBezTo>
                  <a:pt x="16555" y="134804"/>
                  <a:pt x="16465" y="127438"/>
                  <a:pt x="14190" y="120614"/>
                </a:cubicBezTo>
                <a:cubicBezTo>
                  <a:pt x="1432" y="82341"/>
                  <a:pt x="11591" y="135523"/>
                  <a:pt x="3548" y="99329"/>
                </a:cubicBezTo>
                <a:cubicBezTo>
                  <a:pt x="1988" y="92307"/>
                  <a:pt x="1183" y="85139"/>
                  <a:pt x="0" y="78044"/>
                </a:cubicBezTo>
                <a:cubicBezTo>
                  <a:pt x="7227" y="49138"/>
                  <a:pt x="-3326" y="77827"/>
                  <a:pt x="24833" y="49665"/>
                </a:cubicBezTo>
                <a:cubicBezTo>
                  <a:pt x="31227" y="43271"/>
                  <a:pt x="37473" y="35632"/>
                  <a:pt x="46118" y="31927"/>
                </a:cubicBezTo>
                <a:cubicBezTo>
                  <a:pt x="50599" y="30007"/>
                  <a:pt x="55549" y="29438"/>
                  <a:pt x="60308" y="28380"/>
                </a:cubicBezTo>
                <a:cubicBezTo>
                  <a:pt x="82906" y="23358"/>
                  <a:pt x="82066" y="24385"/>
                  <a:pt x="109972" y="21285"/>
                </a:cubicBezTo>
                <a:cubicBezTo>
                  <a:pt x="113520" y="20102"/>
                  <a:pt x="117270" y="19409"/>
                  <a:pt x="120615" y="17737"/>
                </a:cubicBezTo>
                <a:cubicBezTo>
                  <a:pt x="124428" y="15830"/>
                  <a:pt x="127265" y="12139"/>
                  <a:pt x="131257" y="10642"/>
                </a:cubicBezTo>
                <a:cubicBezTo>
                  <a:pt x="136903" y="8525"/>
                  <a:pt x="143063" y="8174"/>
                  <a:pt x="148995" y="7095"/>
                </a:cubicBezTo>
                <a:cubicBezTo>
                  <a:pt x="182716" y="964"/>
                  <a:pt x="175705" y="3185"/>
                  <a:pt x="223492" y="0"/>
                </a:cubicBezTo>
                <a:lnTo>
                  <a:pt x="475363" y="3547"/>
                </a:lnTo>
                <a:cubicBezTo>
                  <a:pt x="479097" y="3754"/>
                  <a:pt x="478911" y="10450"/>
                  <a:pt x="478911" y="14190"/>
                </a:cubicBezTo>
                <a:cubicBezTo>
                  <a:pt x="478911" y="33556"/>
                  <a:pt x="479702" y="43896"/>
                  <a:pt x="468268" y="56760"/>
                </a:cubicBezTo>
                <a:cubicBezTo>
                  <a:pt x="461602" y="64259"/>
                  <a:pt x="454079" y="70949"/>
                  <a:pt x="446984" y="78044"/>
                </a:cubicBezTo>
                <a:lnTo>
                  <a:pt x="422151" y="102877"/>
                </a:lnTo>
                <a:cubicBezTo>
                  <a:pt x="417421" y="107607"/>
                  <a:pt x="413697" y="113625"/>
                  <a:pt x="407961" y="117067"/>
                </a:cubicBezTo>
                <a:cubicBezTo>
                  <a:pt x="396136" y="124162"/>
                  <a:pt x="384820" y="132185"/>
                  <a:pt x="372486" y="138352"/>
                </a:cubicBezTo>
                <a:cubicBezTo>
                  <a:pt x="367756" y="140717"/>
                  <a:pt x="362888" y="142823"/>
                  <a:pt x="358296" y="145447"/>
                </a:cubicBezTo>
                <a:cubicBezTo>
                  <a:pt x="339042" y="156450"/>
                  <a:pt x="356524" y="149586"/>
                  <a:pt x="337011" y="156089"/>
                </a:cubicBezTo>
                <a:cubicBezTo>
                  <a:pt x="334817" y="157735"/>
                  <a:pt x="318952" y="171973"/>
                  <a:pt x="312179" y="170279"/>
                </a:cubicBezTo>
                <a:cubicBezTo>
                  <a:pt x="309614" y="169638"/>
                  <a:pt x="329916" y="178557"/>
                  <a:pt x="329916" y="180922"/>
                </a:cubicBezTo>
                <a:close/>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0" name="Freeform 59">
            <a:extLst>
              <a:ext uri="{FF2B5EF4-FFF2-40B4-BE49-F238E27FC236}">
                <a16:creationId xmlns:a16="http://schemas.microsoft.com/office/drawing/2014/main" id="{51BCFF8B-9697-46F6-6F28-90497316238C}"/>
              </a:ext>
            </a:extLst>
          </xdr:cNvPr>
          <xdr:cNvSpPr/>
        </xdr:nvSpPr>
        <xdr:spPr>
          <a:xfrm>
            <a:off x="13540637123" y="49114944"/>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1" name="Freeform 60">
            <a:extLst>
              <a:ext uri="{FF2B5EF4-FFF2-40B4-BE49-F238E27FC236}">
                <a16:creationId xmlns:a16="http://schemas.microsoft.com/office/drawing/2014/main" id="{2F2B8717-C2B3-5A84-C629-25F19AD53F2E}"/>
              </a:ext>
            </a:extLst>
          </xdr:cNvPr>
          <xdr:cNvSpPr/>
        </xdr:nvSpPr>
        <xdr:spPr>
          <a:xfrm>
            <a:off x="13540708073" y="49107849"/>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2" name="Freeform 61">
            <a:extLst>
              <a:ext uri="{FF2B5EF4-FFF2-40B4-BE49-F238E27FC236}">
                <a16:creationId xmlns:a16="http://schemas.microsoft.com/office/drawing/2014/main" id="{BC3929CE-D93B-9CEF-7AC2-CFDE6E76884E}"/>
              </a:ext>
            </a:extLst>
          </xdr:cNvPr>
          <xdr:cNvSpPr/>
        </xdr:nvSpPr>
        <xdr:spPr>
          <a:xfrm>
            <a:off x="13540793212" y="49083017"/>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3" name="Freeform 62">
            <a:extLst>
              <a:ext uri="{FF2B5EF4-FFF2-40B4-BE49-F238E27FC236}">
                <a16:creationId xmlns:a16="http://schemas.microsoft.com/office/drawing/2014/main" id="{043B0432-CC94-654C-C4EE-68225469E3DE}"/>
              </a:ext>
            </a:extLst>
          </xdr:cNvPr>
          <xdr:cNvSpPr/>
        </xdr:nvSpPr>
        <xdr:spPr>
          <a:xfrm>
            <a:off x="13540849972" y="49079470"/>
            <a:ext cx="57068" cy="15963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4" name="Freeform 63">
            <a:extLst>
              <a:ext uri="{FF2B5EF4-FFF2-40B4-BE49-F238E27FC236}">
                <a16:creationId xmlns:a16="http://schemas.microsoft.com/office/drawing/2014/main" id="{90780E81-B2F0-36CA-260B-C848629680BC}"/>
              </a:ext>
            </a:extLst>
          </xdr:cNvPr>
          <xdr:cNvSpPr/>
        </xdr:nvSpPr>
        <xdr:spPr>
          <a:xfrm rot="6112797">
            <a:off x="13540704581" y="48977995"/>
            <a:ext cx="45719" cy="392277"/>
          </a:xfrm>
          <a:custGeom>
            <a:avLst/>
            <a:gdLst>
              <a:gd name="connsiteX0" fmla="*/ 0 w 57068"/>
              <a:gd name="connsiteY0" fmla="*/ 0 h 159637"/>
              <a:gd name="connsiteX1" fmla="*/ 28380 w 57068"/>
              <a:gd name="connsiteY1" fmla="*/ 42570 h 159637"/>
              <a:gd name="connsiteX2" fmla="*/ 42570 w 57068"/>
              <a:gd name="connsiteY2" fmla="*/ 63855 h 159637"/>
              <a:gd name="connsiteX3" fmla="*/ 49665 w 57068"/>
              <a:gd name="connsiteY3" fmla="*/ 85140 h 159637"/>
              <a:gd name="connsiteX4" fmla="*/ 56760 w 57068"/>
              <a:gd name="connsiteY4" fmla="*/ 124162 h 159637"/>
              <a:gd name="connsiteX5" fmla="*/ 56760 w 57068"/>
              <a:gd name="connsiteY5" fmla="*/ 159637 h 15963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57068" h="159637">
                <a:moveTo>
                  <a:pt x="0" y="0"/>
                </a:moveTo>
                <a:cubicBezTo>
                  <a:pt x="26402" y="46205"/>
                  <a:pt x="1519" y="5637"/>
                  <a:pt x="28380" y="42570"/>
                </a:cubicBezTo>
                <a:cubicBezTo>
                  <a:pt x="33395" y="49466"/>
                  <a:pt x="42570" y="63855"/>
                  <a:pt x="42570" y="63855"/>
                </a:cubicBezTo>
                <a:cubicBezTo>
                  <a:pt x="44935" y="70950"/>
                  <a:pt x="47851" y="77884"/>
                  <a:pt x="49665" y="85140"/>
                </a:cubicBezTo>
                <a:cubicBezTo>
                  <a:pt x="53339" y="99837"/>
                  <a:pt x="55782" y="107545"/>
                  <a:pt x="56760" y="124162"/>
                </a:cubicBezTo>
                <a:cubicBezTo>
                  <a:pt x="57454" y="135967"/>
                  <a:pt x="56760" y="147812"/>
                  <a:pt x="56760" y="15963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grpSp>
    <xdr:clientData/>
  </xdr:twoCellAnchor>
  <xdr:twoCellAnchor>
    <xdr:from>
      <xdr:col>1</xdr:col>
      <xdr:colOff>595978</xdr:colOff>
      <xdr:row>257</xdr:row>
      <xdr:rowOff>113520</xdr:rowOff>
    </xdr:from>
    <xdr:to>
      <xdr:col>4</xdr:col>
      <xdr:colOff>496649</xdr:colOff>
      <xdr:row>260</xdr:row>
      <xdr:rowOff>134805</xdr:rowOff>
    </xdr:to>
    <xdr:sp macro="" textlink="">
      <xdr:nvSpPr>
        <xdr:cNvPr id="65" name="Rounded Rectangular Callout 64">
          <a:extLst>
            <a:ext uri="{FF2B5EF4-FFF2-40B4-BE49-F238E27FC236}">
              <a16:creationId xmlns:a16="http://schemas.microsoft.com/office/drawing/2014/main" id="{1C79648C-03EC-A6AD-A356-6D8FB0DEA039}"/>
            </a:ext>
          </a:extLst>
        </xdr:cNvPr>
        <xdr:cNvSpPr/>
      </xdr:nvSpPr>
      <xdr:spPr>
        <a:xfrm>
          <a:off x="13538714385" y="52360894"/>
          <a:ext cx="2380364" cy="627905"/>
        </a:xfrm>
        <a:prstGeom prst="wedgeRoundRectCallout">
          <a:avLst>
            <a:gd name="adj1" fmla="val 59793"/>
            <a:gd name="adj2" fmla="val 3425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ואם אני רוצה הרחבה או הסבר על תהליכי העבודה - יש למטה.</a:t>
          </a:r>
          <a:endParaRPr lang="en-US" sz="1100"/>
        </a:p>
      </xdr:txBody>
    </xdr:sp>
    <xdr:clientData/>
  </xdr:twoCellAnchor>
  <xdr:twoCellAnchor>
    <xdr:from>
      <xdr:col>0</xdr:col>
      <xdr:colOff>397319</xdr:colOff>
      <xdr:row>312</xdr:row>
      <xdr:rowOff>99330</xdr:rowOff>
    </xdr:from>
    <xdr:to>
      <xdr:col>1</xdr:col>
      <xdr:colOff>17738</xdr:colOff>
      <xdr:row>314</xdr:row>
      <xdr:rowOff>106425</xdr:rowOff>
    </xdr:to>
    <xdr:grpSp>
      <xdr:nvGrpSpPr>
        <xdr:cNvPr id="76" name="Group 75">
          <a:extLst>
            <a:ext uri="{FF2B5EF4-FFF2-40B4-BE49-F238E27FC236}">
              <a16:creationId xmlns:a16="http://schemas.microsoft.com/office/drawing/2014/main" id="{7C75BF3F-236B-B335-F653-95A898A2AD84}"/>
            </a:ext>
          </a:extLst>
        </xdr:cNvPr>
        <xdr:cNvGrpSpPr/>
      </xdr:nvGrpSpPr>
      <xdr:grpSpPr>
        <a:xfrm>
          <a:off x="13541747486" y="63482263"/>
          <a:ext cx="446983" cy="450531"/>
          <a:chOff x="13541672989" y="63482263"/>
          <a:chExt cx="446983" cy="425698"/>
        </a:xfrm>
      </xdr:grpSpPr>
      <xdr:cxnSp macro="">
        <xdr:nvCxnSpPr>
          <xdr:cNvPr id="67" name="Straight Connector 66">
            <a:extLst>
              <a:ext uri="{FF2B5EF4-FFF2-40B4-BE49-F238E27FC236}">
                <a16:creationId xmlns:a16="http://schemas.microsoft.com/office/drawing/2014/main" id="{246BE088-703D-30FB-A96F-8E6D35B50CFD}"/>
              </a:ext>
            </a:extLst>
          </xdr:cNvPr>
          <xdr:cNvCxnSpPr/>
        </xdr:nvCxnSpPr>
        <xdr:spPr>
          <a:xfrm flipV="1">
            <a:off x="13541690726" y="63900866"/>
            <a:ext cx="429246" cy="354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68" name="Straight Connector 67">
            <a:extLst>
              <a:ext uri="{FF2B5EF4-FFF2-40B4-BE49-F238E27FC236}">
                <a16:creationId xmlns:a16="http://schemas.microsoft.com/office/drawing/2014/main" id="{D3FB7FB2-B461-9205-F1DF-F013E60F35EE}"/>
              </a:ext>
            </a:extLst>
          </xdr:cNvPr>
          <xdr:cNvCxnSpPr/>
        </xdr:nvCxnSpPr>
        <xdr:spPr>
          <a:xfrm flipH="1" flipV="1">
            <a:off x="13542102235" y="63482263"/>
            <a:ext cx="17737" cy="425698"/>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71" name="Straight Connector 70">
            <a:extLst>
              <a:ext uri="{FF2B5EF4-FFF2-40B4-BE49-F238E27FC236}">
                <a16:creationId xmlns:a16="http://schemas.microsoft.com/office/drawing/2014/main" id="{D76D1240-98E0-FC50-64AE-2D6E99EEC5E8}"/>
              </a:ext>
            </a:extLst>
          </xdr:cNvPr>
          <xdr:cNvCxnSpPr/>
        </xdr:nvCxnSpPr>
        <xdr:spPr>
          <a:xfrm flipH="1" flipV="1">
            <a:off x="13541672989" y="63482263"/>
            <a:ext cx="432793" cy="3546"/>
          </a:xfrm>
          <a:prstGeom prst="line">
            <a:avLst/>
          </a:prstGeom>
          <a:ln>
            <a:headEnd type="none" w="med" len="med"/>
            <a:tailEnd type="arrow" w="med" len="med"/>
          </a:ln>
        </xdr:spPr>
        <xdr:style>
          <a:lnRef idx="3">
            <a:schemeClr val="dk1"/>
          </a:lnRef>
          <a:fillRef idx="0">
            <a:schemeClr val="dk1"/>
          </a:fillRef>
          <a:effectRef idx="2">
            <a:schemeClr val="dk1"/>
          </a:effectRef>
          <a:fontRef idx="minor">
            <a:schemeClr val="tx1"/>
          </a:fontRef>
        </xdr:style>
      </xdr:cxnSp>
    </xdr:grpSp>
    <xdr:clientData/>
  </xdr:twoCellAnchor>
  <xdr:twoCellAnchor>
    <xdr:from>
      <xdr:col>0</xdr:col>
      <xdr:colOff>166732</xdr:colOff>
      <xdr:row>312</xdr:row>
      <xdr:rowOff>188017</xdr:rowOff>
    </xdr:from>
    <xdr:to>
      <xdr:col>0</xdr:col>
      <xdr:colOff>337012</xdr:colOff>
      <xdr:row>313</xdr:row>
      <xdr:rowOff>145447</xdr:rowOff>
    </xdr:to>
    <xdr:sp macro="" textlink="">
      <xdr:nvSpPr>
        <xdr:cNvPr id="75" name="Oval 74">
          <a:extLst>
            <a:ext uri="{FF2B5EF4-FFF2-40B4-BE49-F238E27FC236}">
              <a16:creationId xmlns:a16="http://schemas.microsoft.com/office/drawing/2014/main" id="{EC015678-7EC5-648B-7B26-EE4CD55953EB}"/>
            </a:ext>
          </a:extLst>
        </xdr:cNvPr>
        <xdr:cNvSpPr/>
      </xdr:nvSpPr>
      <xdr:spPr>
        <a:xfrm>
          <a:off x="13542180279" y="63570950"/>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635002</xdr:colOff>
      <xdr:row>312</xdr:row>
      <xdr:rowOff>56759</xdr:rowOff>
    </xdr:from>
    <xdr:to>
      <xdr:col>4</xdr:col>
      <xdr:colOff>773355</xdr:colOff>
      <xdr:row>313</xdr:row>
      <xdr:rowOff>102876</xdr:rowOff>
    </xdr:to>
    <xdr:grpSp>
      <xdr:nvGrpSpPr>
        <xdr:cNvPr id="77" name="Group 76">
          <a:extLst>
            <a:ext uri="{FF2B5EF4-FFF2-40B4-BE49-F238E27FC236}">
              <a16:creationId xmlns:a16="http://schemas.microsoft.com/office/drawing/2014/main" id="{9D238705-DA0A-A942-B107-FF66B10A1553}"/>
            </a:ext>
          </a:extLst>
        </xdr:cNvPr>
        <xdr:cNvGrpSpPr/>
      </xdr:nvGrpSpPr>
      <xdr:grpSpPr>
        <a:xfrm rot="10800000">
          <a:off x="13538512176" y="63439692"/>
          <a:ext cx="138353" cy="262514"/>
          <a:chOff x="13541672989" y="63482263"/>
          <a:chExt cx="446983" cy="425698"/>
        </a:xfrm>
      </xdr:grpSpPr>
      <xdr:cxnSp macro="">
        <xdr:nvCxnSpPr>
          <xdr:cNvPr id="78" name="Straight Connector 77">
            <a:extLst>
              <a:ext uri="{FF2B5EF4-FFF2-40B4-BE49-F238E27FC236}">
                <a16:creationId xmlns:a16="http://schemas.microsoft.com/office/drawing/2014/main" id="{8257F5F0-2124-8B65-45F8-0EA589ECB285}"/>
              </a:ext>
            </a:extLst>
          </xdr:cNvPr>
          <xdr:cNvCxnSpPr/>
        </xdr:nvCxnSpPr>
        <xdr:spPr>
          <a:xfrm flipV="1">
            <a:off x="13541690726" y="63900866"/>
            <a:ext cx="429246" cy="354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79" name="Straight Connector 78">
            <a:extLst>
              <a:ext uri="{FF2B5EF4-FFF2-40B4-BE49-F238E27FC236}">
                <a16:creationId xmlns:a16="http://schemas.microsoft.com/office/drawing/2014/main" id="{0BAF18A8-D72E-30D9-BAAC-46167C99E7F3}"/>
              </a:ext>
            </a:extLst>
          </xdr:cNvPr>
          <xdr:cNvCxnSpPr/>
        </xdr:nvCxnSpPr>
        <xdr:spPr>
          <a:xfrm flipH="1" flipV="1">
            <a:off x="13542102235" y="63482263"/>
            <a:ext cx="17737" cy="425698"/>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80" name="Straight Connector 79">
            <a:extLst>
              <a:ext uri="{FF2B5EF4-FFF2-40B4-BE49-F238E27FC236}">
                <a16:creationId xmlns:a16="http://schemas.microsoft.com/office/drawing/2014/main" id="{4BA10C9D-41BC-ADD4-4812-F29AAC4CE8AB}"/>
              </a:ext>
            </a:extLst>
          </xdr:cNvPr>
          <xdr:cNvCxnSpPr/>
        </xdr:nvCxnSpPr>
        <xdr:spPr>
          <a:xfrm flipH="1" flipV="1">
            <a:off x="13541672989" y="63482263"/>
            <a:ext cx="432793" cy="3546"/>
          </a:xfrm>
          <a:prstGeom prst="line">
            <a:avLst/>
          </a:prstGeom>
          <a:ln>
            <a:headEnd type="none" w="med" len="med"/>
            <a:tailEnd type="arrow" w="med" len="med"/>
          </a:ln>
        </xdr:spPr>
        <xdr:style>
          <a:lnRef idx="3">
            <a:schemeClr val="dk1"/>
          </a:lnRef>
          <a:fillRef idx="0">
            <a:schemeClr val="dk1"/>
          </a:fillRef>
          <a:effectRef idx="2">
            <a:schemeClr val="dk1"/>
          </a:effectRef>
          <a:fontRef idx="minor">
            <a:schemeClr val="tx1"/>
          </a:fontRef>
        </xdr:style>
      </xdr:cxnSp>
    </xdr:grpSp>
    <xdr:clientData/>
  </xdr:twoCellAnchor>
  <xdr:twoCellAnchor>
    <xdr:from>
      <xdr:col>4</xdr:col>
      <xdr:colOff>638548</xdr:colOff>
      <xdr:row>311</xdr:row>
      <xdr:rowOff>39022</xdr:rowOff>
    </xdr:from>
    <xdr:to>
      <xdr:col>4</xdr:col>
      <xdr:colOff>808828</xdr:colOff>
      <xdr:row>312</xdr:row>
      <xdr:rowOff>10642</xdr:rowOff>
    </xdr:to>
    <xdr:sp macro="" textlink="">
      <xdr:nvSpPr>
        <xdr:cNvPr id="81" name="Oval 80">
          <a:extLst>
            <a:ext uri="{FF2B5EF4-FFF2-40B4-BE49-F238E27FC236}">
              <a16:creationId xmlns:a16="http://schemas.microsoft.com/office/drawing/2014/main" id="{5171CB73-E97F-0C87-5E5D-9F15C2603F2C}"/>
            </a:ext>
          </a:extLst>
        </xdr:cNvPr>
        <xdr:cNvSpPr/>
      </xdr:nvSpPr>
      <xdr:spPr>
        <a:xfrm>
          <a:off x="13538402206" y="63219748"/>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6</xdr:col>
      <xdr:colOff>92236</xdr:colOff>
      <xdr:row>313</xdr:row>
      <xdr:rowOff>63854</xdr:rowOff>
    </xdr:from>
    <xdr:to>
      <xdr:col>6</xdr:col>
      <xdr:colOff>262516</xdr:colOff>
      <xdr:row>314</xdr:row>
      <xdr:rowOff>35475</xdr:rowOff>
    </xdr:to>
    <xdr:sp macro="" textlink="">
      <xdr:nvSpPr>
        <xdr:cNvPr id="83" name="Oval 82">
          <a:extLst>
            <a:ext uri="{FF2B5EF4-FFF2-40B4-BE49-F238E27FC236}">
              <a16:creationId xmlns:a16="http://schemas.microsoft.com/office/drawing/2014/main" id="{293DB4C9-5597-FC37-D3C3-C413F6E31205}"/>
            </a:ext>
          </a:extLst>
        </xdr:cNvPr>
        <xdr:cNvSpPr/>
      </xdr:nvSpPr>
      <xdr:spPr>
        <a:xfrm>
          <a:off x="13537295390" y="63663184"/>
          <a:ext cx="170280" cy="17382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1</xdr:col>
      <xdr:colOff>177395</xdr:colOff>
      <xdr:row>41</xdr:row>
      <xdr:rowOff>24211</xdr:rowOff>
    </xdr:from>
    <xdr:ext cx="2260600" cy="346570"/>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896BD4EE-A872-FD41-A519-FF155213858F}"/>
                </a:ext>
              </a:extLst>
            </xdr:cNvPr>
            <xdr:cNvSpPr txBox="1"/>
          </xdr:nvSpPr>
          <xdr:spPr>
            <a:xfrm>
              <a:off x="13521728505" y="47232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896BD4EE-A872-FD41-A519-FF155213858F}"/>
                </a:ext>
              </a:extLst>
            </xdr:cNvPr>
            <xdr:cNvSpPr txBox="1"/>
          </xdr:nvSpPr>
          <xdr:spPr>
            <a:xfrm>
              <a:off x="13521728505" y="47232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0</xdr:col>
      <xdr:colOff>546100</xdr:colOff>
      <xdr:row>46</xdr:row>
      <xdr:rowOff>120650</xdr:rowOff>
    </xdr:from>
    <xdr:ext cx="3327518" cy="345672"/>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845BD555-9ED1-0345-8D9E-E0D48440AD69}"/>
                </a:ext>
              </a:extLst>
            </xdr:cNvPr>
            <xdr:cNvSpPr txBox="1"/>
          </xdr:nvSpPr>
          <xdr:spPr>
            <a:xfrm>
              <a:off x="13521118382" y="6038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845BD555-9ED1-0345-8D9E-E0D48440AD69}"/>
                </a:ext>
              </a:extLst>
            </xdr:cNvPr>
            <xdr:cNvSpPr txBox="1"/>
          </xdr:nvSpPr>
          <xdr:spPr>
            <a:xfrm>
              <a:off x="13521118382" y="6038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2</xdr:col>
      <xdr:colOff>368300</xdr:colOff>
      <xdr:row>854</xdr:row>
      <xdr:rowOff>158750</xdr:rowOff>
    </xdr:from>
    <xdr:ext cx="2260600" cy="346570"/>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44A5CB49-8A7D-4B4B-8B1D-C07FA10500C8}"/>
                </a:ext>
              </a:extLst>
            </xdr:cNvPr>
            <xdr:cNvSpPr txBox="1"/>
          </xdr:nvSpPr>
          <xdr:spPr>
            <a:xfrm>
              <a:off x="13520712100" y="1075055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4" name="TextBox 3">
              <a:extLst>
                <a:ext uri="{FF2B5EF4-FFF2-40B4-BE49-F238E27FC236}">
                  <a16:creationId xmlns:a16="http://schemas.microsoft.com/office/drawing/2014/main" id="{44A5CB49-8A7D-4B4B-8B1D-C07FA10500C8}"/>
                </a:ext>
              </a:extLst>
            </xdr:cNvPr>
            <xdr:cNvSpPr txBox="1"/>
          </xdr:nvSpPr>
          <xdr:spPr>
            <a:xfrm>
              <a:off x="13520712100" y="1075055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2</xdr:col>
      <xdr:colOff>101600</xdr:colOff>
      <xdr:row>904</xdr:row>
      <xdr:rowOff>12700</xdr:rowOff>
    </xdr:from>
    <xdr:ext cx="3327518" cy="34567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937EA85E-9071-C640-8795-FD904ED3AE32}"/>
                </a:ext>
              </a:extLst>
            </xdr:cNvPr>
            <xdr:cNvSpPr txBox="1"/>
          </xdr:nvSpPr>
          <xdr:spPr>
            <a:xfrm>
              <a:off x="13519911882" y="207645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5" name="TextBox 4">
              <a:extLst>
                <a:ext uri="{FF2B5EF4-FFF2-40B4-BE49-F238E27FC236}">
                  <a16:creationId xmlns:a16="http://schemas.microsoft.com/office/drawing/2014/main" id="{937EA85E-9071-C640-8795-FD904ED3AE32}"/>
                </a:ext>
              </a:extLst>
            </xdr:cNvPr>
            <xdr:cNvSpPr txBox="1"/>
          </xdr:nvSpPr>
          <xdr:spPr>
            <a:xfrm>
              <a:off x="13519911882" y="207645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0</xdr:col>
      <xdr:colOff>533400</xdr:colOff>
      <xdr:row>50</xdr:row>
      <xdr:rowOff>184150</xdr:rowOff>
    </xdr:from>
    <xdr:ext cx="3327518" cy="34567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432DC2F-0A2F-B541-8768-C959F6C601AF}"/>
                </a:ext>
              </a:extLst>
            </xdr:cNvPr>
            <xdr:cNvSpPr txBox="1"/>
          </xdr:nvSpPr>
          <xdr:spPr>
            <a:xfrm>
              <a:off x="13521131082" y="69151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E432DC2F-0A2F-B541-8768-C959F6C601AF}"/>
                </a:ext>
              </a:extLst>
            </xdr:cNvPr>
            <xdr:cNvSpPr txBox="1"/>
          </xdr:nvSpPr>
          <xdr:spPr>
            <a:xfrm>
              <a:off x="13521131082" y="69151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a:t>
              </a:r>
              <a:endParaRPr lang="en-US" sz="1100"/>
            </a:p>
          </xdr:txBody>
        </xdr:sp>
      </mc:Fallback>
    </mc:AlternateContent>
    <xdr:clientData/>
  </xdr:oneCellAnchor>
  <xdr:oneCellAnchor>
    <xdr:from>
      <xdr:col>1</xdr:col>
      <xdr:colOff>809391</xdr:colOff>
      <xdr:row>990</xdr:row>
      <xdr:rowOff>150311</xdr:rowOff>
    </xdr:from>
    <xdr:ext cx="3327518" cy="346762"/>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D6D642B-35DE-9349-ACB9-F8E670EFEF1E}"/>
                </a:ext>
              </a:extLst>
            </xdr:cNvPr>
            <xdr:cNvSpPr txBox="1"/>
          </xdr:nvSpPr>
          <xdr:spPr>
            <a:xfrm>
              <a:off x="13520029591" y="38415411"/>
              <a:ext cx="33275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250</m:t>
                        </m:r>
                      </m:den>
                    </m:f>
                    <m:r>
                      <a:rPr lang="en-US" sz="1100" b="0" i="1">
                        <a:latin typeface="Cambria Math" panose="02040503050406030204" pitchFamily="18" charset="0"/>
                      </a:rPr>
                      <m:t>=0.092→9.2%</m:t>
                    </m:r>
                  </m:oMath>
                </m:oMathPara>
              </a14:m>
              <a:endParaRPr lang="en-US" sz="1100"/>
            </a:p>
          </xdr:txBody>
        </xdr:sp>
      </mc:Choice>
      <mc:Fallback xmlns="">
        <xdr:sp macro="" textlink="">
          <xdr:nvSpPr>
            <xdr:cNvPr id="7" name="TextBox 6">
              <a:extLst>
                <a:ext uri="{FF2B5EF4-FFF2-40B4-BE49-F238E27FC236}">
                  <a16:creationId xmlns:a16="http://schemas.microsoft.com/office/drawing/2014/main" id="{2D6D642B-35DE-9349-ACB9-F8E670EFEF1E}"/>
                </a:ext>
              </a:extLst>
            </xdr:cNvPr>
            <xdr:cNvSpPr txBox="1"/>
          </xdr:nvSpPr>
          <xdr:spPr>
            <a:xfrm>
              <a:off x="13520029591" y="38415411"/>
              <a:ext cx="33275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→10%−2/250=0.092→9.2%</a:t>
              </a:r>
              <a:endParaRPr lang="en-US" sz="1100"/>
            </a:p>
          </xdr:txBody>
        </xdr:sp>
      </mc:Fallback>
    </mc:AlternateContent>
    <xdr:clientData/>
  </xdr:oneCellAnchor>
  <xdr:oneCellAnchor>
    <xdr:from>
      <xdr:col>2</xdr:col>
      <xdr:colOff>150730</xdr:colOff>
      <xdr:row>862</xdr:row>
      <xdr:rowOff>123331</xdr:rowOff>
    </xdr:from>
    <xdr:ext cx="2260600" cy="324641"/>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F55300B8-9B7A-F043-BEDA-225FC9E202B0}"/>
                </a:ext>
              </a:extLst>
            </xdr:cNvPr>
            <xdr:cNvSpPr txBox="1"/>
          </xdr:nvSpPr>
          <xdr:spPr>
            <a:xfrm>
              <a:off x="13520929670" y="12340731"/>
              <a:ext cx="226060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5%−0%</m:t>
                        </m:r>
                      </m:den>
                    </m:f>
                    <m:r>
                      <a:rPr lang="he-IL" sz="1100" b="0" i="1">
                        <a:latin typeface="Cambria Math" panose="02040503050406030204" pitchFamily="18" charset="0"/>
                      </a:rPr>
                      <m:t>=20</m:t>
                    </m:r>
                  </m:oMath>
                </m:oMathPara>
              </a14:m>
              <a:endParaRPr lang="en-US" sz="1100"/>
            </a:p>
          </xdr:txBody>
        </xdr:sp>
      </mc:Choice>
      <mc:Fallback xmlns="">
        <xdr:sp macro="" textlink="">
          <xdr:nvSpPr>
            <xdr:cNvPr id="9" name="TextBox 8">
              <a:extLst>
                <a:ext uri="{FF2B5EF4-FFF2-40B4-BE49-F238E27FC236}">
                  <a16:creationId xmlns:a16="http://schemas.microsoft.com/office/drawing/2014/main" id="{F55300B8-9B7A-F043-BEDA-225FC9E202B0}"/>
                </a:ext>
              </a:extLst>
            </xdr:cNvPr>
            <xdr:cNvSpPr txBox="1"/>
          </xdr:nvSpPr>
          <xdr:spPr>
            <a:xfrm>
              <a:off x="13520929670" y="12340731"/>
              <a:ext cx="226060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=20</a:t>
              </a:r>
              <a:endParaRPr lang="en-US" sz="1100"/>
            </a:p>
          </xdr:txBody>
        </xdr:sp>
      </mc:Fallback>
    </mc:AlternateContent>
    <xdr:clientData/>
  </xdr:oneCellAnchor>
  <xdr:oneCellAnchor>
    <xdr:from>
      <xdr:col>1</xdr:col>
      <xdr:colOff>136613</xdr:colOff>
      <xdr:row>878</xdr:row>
      <xdr:rowOff>30358</xdr:rowOff>
    </xdr:from>
    <xdr:ext cx="2260600" cy="346570"/>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481A5394-BDB4-9D44-86E6-110D30B72F7D}"/>
                </a:ext>
              </a:extLst>
            </xdr:cNvPr>
            <xdr:cNvSpPr txBox="1"/>
          </xdr:nvSpPr>
          <xdr:spPr>
            <a:xfrm>
              <a:off x="13521769287" y="154989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481A5394-BDB4-9D44-86E6-110D30B72F7D}"/>
                </a:ext>
              </a:extLst>
            </xdr:cNvPr>
            <xdr:cNvSpPr txBox="1"/>
          </xdr:nvSpPr>
          <xdr:spPr>
            <a:xfrm>
              <a:off x="13521769287" y="154989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3</xdr:col>
      <xdr:colOff>703306</xdr:colOff>
      <xdr:row>878</xdr:row>
      <xdr:rowOff>60717</xdr:rowOff>
    </xdr:from>
    <xdr:ext cx="1415620" cy="346570"/>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E272E42-40E5-8F42-AACE-3448A038BC69}"/>
                </a:ext>
              </a:extLst>
            </xdr:cNvPr>
            <xdr:cNvSpPr txBox="1"/>
          </xdr:nvSpPr>
          <xdr:spPr>
            <a:xfrm>
              <a:off x="13520396574" y="155293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EE272E42-40E5-8F42-AACE-3448A038BC69}"/>
                </a:ext>
              </a:extLst>
            </xdr:cNvPr>
            <xdr:cNvSpPr txBox="1"/>
          </xdr:nvSpPr>
          <xdr:spPr>
            <a:xfrm>
              <a:off x="13520396574" y="155293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5</xdr:col>
      <xdr:colOff>728605</xdr:colOff>
      <xdr:row>878</xdr:row>
      <xdr:rowOff>45537</xdr:rowOff>
    </xdr:from>
    <xdr:ext cx="1415620" cy="346570"/>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D71578A2-1371-6648-909F-F057E896A7DF}"/>
                </a:ext>
              </a:extLst>
            </xdr:cNvPr>
            <xdr:cNvSpPr txBox="1"/>
          </xdr:nvSpPr>
          <xdr:spPr>
            <a:xfrm>
              <a:off x="13518720275" y="155141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D71578A2-1371-6648-909F-F057E896A7DF}"/>
                </a:ext>
              </a:extLst>
            </xdr:cNvPr>
            <xdr:cNvSpPr txBox="1"/>
          </xdr:nvSpPr>
          <xdr:spPr>
            <a:xfrm>
              <a:off x="13518720275" y="155141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oneCellAnchor>
    <xdr:from>
      <xdr:col>2</xdr:col>
      <xdr:colOff>546455</xdr:colOff>
      <xdr:row>886</xdr:row>
      <xdr:rowOff>111315</xdr:rowOff>
    </xdr:from>
    <xdr:ext cx="1688847" cy="32464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ABDC5AD-3979-694D-A750-B97E380D6EBD}"/>
                </a:ext>
              </a:extLst>
            </xdr:cNvPr>
            <xdr:cNvSpPr txBox="1"/>
          </xdr:nvSpPr>
          <xdr:spPr>
            <a:xfrm>
              <a:off x="13521105698" y="17205515"/>
              <a:ext cx="168884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5%−0</m:t>
                        </m:r>
                      </m:den>
                    </m:f>
                    <m:r>
                      <a:rPr lang="he-IL" sz="1100" b="0" i="1">
                        <a:latin typeface="Cambria Math" panose="02040503050406030204" pitchFamily="18" charset="0"/>
                      </a:rPr>
                      <m:t>∗(1+</m:t>
                    </m:r>
                    <m:r>
                      <a:rPr lang="en-US" sz="1100" b="0" i="1">
                        <a:latin typeface="Cambria Math" panose="02040503050406030204" pitchFamily="18" charset="0"/>
                      </a:rPr>
                      <m:t>5%)</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ABDC5AD-3979-694D-A750-B97E380D6EBD}"/>
                </a:ext>
              </a:extLst>
            </xdr:cNvPr>
            <xdr:cNvSpPr txBox="1"/>
          </xdr:nvSpPr>
          <xdr:spPr>
            <a:xfrm>
              <a:off x="13521105698" y="17205515"/>
              <a:ext cx="168884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𝑃_𝑆=1/(5%−0)</a:t>
              </a:r>
              <a:r>
                <a:rPr lang="he-IL" sz="1100" b="0" i="0">
                  <a:latin typeface="Cambria Math" panose="02040503050406030204" pitchFamily="18" charset="0"/>
                </a:rPr>
                <a:t>∗(1+</a:t>
              </a:r>
              <a:r>
                <a:rPr lang="en-US" sz="1100" b="0" i="0">
                  <a:latin typeface="Cambria Math" panose="02040503050406030204" pitchFamily="18" charset="0"/>
                </a:rPr>
                <a:t>5%)</a:t>
              </a:r>
              <a:endParaRPr lang="en-US" sz="1100"/>
            </a:p>
          </xdr:txBody>
        </xdr:sp>
      </mc:Fallback>
    </mc:AlternateContent>
    <xdr:clientData/>
  </xdr:oneCellAnchor>
  <xdr:oneCellAnchor>
    <xdr:from>
      <xdr:col>3</xdr:col>
      <xdr:colOff>45537</xdr:colOff>
      <xdr:row>888</xdr:row>
      <xdr:rowOff>166972</xdr:rowOff>
    </xdr:from>
    <xdr:ext cx="1415620" cy="324641"/>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D3BEA2E1-BE15-A94F-AF85-2174DBE7C5A4}"/>
                </a:ext>
              </a:extLst>
            </xdr:cNvPr>
            <xdr:cNvSpPr txBox="1"/>
          </xdr:nvSpPr>
          <xdr:spPr>
            <a:xfrm>
              <a:off x="13521054343" y="17667572"/>
              <a:ext cx="141562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5%−0</m:t>
                        </m:r>
                      </m:den>
                    </m:f>
                    <m:r>
                      <a:rPr lang="en-US" sz="1100" b="0" i="0">
                        <a:latin typeface="Cambria Math" panose="02040503050406030204" pitchFamily="18" charset="0"/>
                      </a:rPr>
                      <m:t>=21</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D3BEA2E1-BE15-A94F-AF85-2174DBE7C5A4}"/>
                </a:ext>
              </a:extLst>
            </xdr:cNvPr>
            <xdr:cNvSpPr txBox="1"/>
          </xdr:nvSpPr>
          <xdr:spPr>
            <a:xfrm>
              <a:off x="13521054343" y="17667572"/>
              <a:ext cx="141562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𝑃_𝑆=1+1/(5%−0)=21</a:t>
              </a:r>
              <a:endParaRPr lang="en-US" sz="1100"/>
            </a:p>
          </xdr:txBody>
        </xdr:sp>
      </mc:Fallback>
    </mc:AlternateContent>
    <xdr:clientData/>
  </xdr:oneCellAnchor>
  <xdr:oneCellAnchor>
    <xdr:from>
      <xdr:col>2</xdr:col>
      <xdr:colOff>81361</xdr:colOff>
      <xdr:row>911</xdr:row>
      <xdr:rowOff>154373</xdr:rowOff>
    </xdr:from>
    <xdr:ext cx="3327518" cy="31688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4B30A70D-ADB7-9742-8342-1E935E7AF870}"/>
                </a:ext>
              </a:extLst>
            </xdr:cNvPr>
            <xdr:cNvSpPr txBox="1"/>
          </xdr:nvSpPr>
          <xdr:spPr>
            <a:xfrm>
              <a:off x="13519932121" y="22328573"/>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=2%+</m:t>
                    </m:r>
                    <m:f>
                      <m:fPr>
                        <m:ctrlPr>
                          <a:rPr lang="en-US" sz="1100" b="0" i="1">
                            <a:latin typeface="Cambria Math" panose="02040503050406030204" pitchFamily="18" charset="0"/>
                          </a:rPr>
                        </m:ctrlPr>
                      </m:fPr>
                      <m:num>
                        <m:r>
                          <a:rPr lang="he-IL" sz="1100" b="0" i="1">
                            <a:latin typeface="Cambria Math" panose="02040503050406030204" pitchFamily="18" charset="0"/>
                          </a:rPr>
                          <m:t>10</m:t>
                        </m:r>
                      </m:num>
                      <m:den>
                        <m:r>
                          <a:rPr lang="he-IL" sz="1100" b="0" i="1">
                            <a:latin typeface="Cambria Math" panose="02040503050406030204" pitchFamily="18" charset="0"/>
                          </a:rPr>
                          <m:t>100</m:t>
                        </m:r>
                      </m:den>
                    </m:f>
                    <m:r>
                      <a:rPr lang="he-IL" sz="1100" b="0" i="1">
                        <a:latin typeface="Cambria Math" panose="02040503050406030204" pitchFamily="18" charset="0"/>
                      </a:rPr>
                      <m:t>=12%</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4B30A70D-ADB7-9742-8342-1E935E7AF870}"/>
                </a:ext>
              </a:extLst>
            </xdr:cNvPr>
            <xdr:cNvSpPr txBox="1"/>
          </xdr:nvSpPr>
          <xdr:spPr>
            <a:xfrm>
              <a:off x="13519932121" y="22328573"/>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𝑟=2%+</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100=12%</a:t>
              </a:r>
              <a:endParaRPr lang="en-US" sz="1100"/>
            </a:p>
          </xdr:txBody>
        </xdr:sp>
      </mc:Fallback>
    </mc:AlternateContent>
    <xdr:clientData/>
  </xdr:oneCellAnchor>
  <xdr:oneCellAnchor>
    <xdr:from>
      <xdr:col>2</xdr:col>
      <xdr:colOff>136614</xdr:colOff>
      <xdr:row>933</xdr:row>
      <xdr:rowOff>30358</xdr:rowOff>
    </xdr:from>
    <xdr:ext cx="1482229" cy="346570"/>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D2DD1420-FAF6-A34C-B225-73F4673978CF}"/>
                </a:ext>
              </a:extLst>
            </xdr:cNvPr>
            <xdr:cNvSpPr txBox="1"/>
          </xdr:nvSpPr>
          <xdr:spPr>
            <a:xfrm>
              <a:off x="13521722157" y="26674958"/>
              <a:ext cx="1482229"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6" name="TextBox 15">
              <a:extLst>
                <a:ext uri="{FF2B5EF4-FFF2-40B4-BE49-F238E27FC236}">
                  <a16:creationId xmlns:a16="http://schemas.microsoft.com/office/drawing/2014/main" id="{D2DD1420-FAF6-A34C-B225-73F4673978CF}"/>
                </a:ext>
              </a:extLst>
            </xdr:cNvPr>
            <xdr:cNvSpPr txBox="1"/>
          </xdr:nvSpPr>
          <xdr:spPr>
            <a:xfrm>
              <a:off x="13521722157" y="26674958"/>
              <a:ext cx="1482229"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2</xdr:col>
      <xdr:colOff>180219</xdr:colOff>
      <xdr:row>936</xdr:row>
      <xdr:rowOff>90314</xdr:rowOff>
    </xdr:from>
    <xdr:ext cx="1482229" cy="324641"/>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F5C1972D-9BB9-E84A-BF39-7C5D6D4527CC}"/>
                </a:ext>
              </a:extLst>
            </xdr:cNvPr>
            <xdr:cNvSpPr txBox="1"/>
          </xdr:nvSpPr>
          <xdr:spPr>
            <a:xfrm>
              <a:off x="13521678552" y="27344514"/>
              <a:ext cx="148222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0.77</m:t>
                        </m:r>
                      </m:num>
                      <m:den>
                        <m:r>
                          <a:rPr lang="en-US" sz="1100" b="0" i="1">
                            <a:latin typeface="Cambria Math" panose="02040503050406030204" pitchFamily="18" charset="0"/>
                          </a:rPr>
                          <m:t>15%−10%</m:t>
                        </m:r>
                      </m:den>
                    </m:f>
                    <m:r>
                      <a:rPr lang="en-US" sz="1100" b="0" i="1">
                        <a:latin typeface="Cambria Math" panose="02040503050406030204" pitchFamily="18" charset="0"/>
                      </a:rPr>
                      <m:t>=15.4</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F5C1972D-9BB9-E84A-BF39-7C5D6D4527CC}"/>
                </a:ext>
              </a:extLst>
            </xdr:cNvPr>
            <xdr:cNvSpPr txBox="1"/>
          </xdr:nvSpPr>
          <xdr:spPr>
            <a:xfrm>
              <a:off x="13521678552" y="27344514"/>
              <a:ext cx="148222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𝑃_𝑆=0.77/(15%−10%)=15.4</a:t>
              </a:r>
              <a:endParaRPr lang="en-US" sz="1100"/>
            </a:p>
          </xdr:txBody>
        </xdr:sp>
      </mc:Fallback>
    </mc:AlternateContent>
    <xdr:clientData/>
  </xdr:oneCellAnchor>
  <xdr:twoCellAnchor>
    <xdr:from>
      <xdr:col>3</xdr:col>
      <xdr:colOff>395228</xdr:colOff>
      <xdr:row>950</xdr:row>
      <xdr:rowOff>168630</xdr:rowOff>
    </xdr:from>
    <xdr:to>
      <xdr:col>3</xdr:col>
      <xdr:colOff>405767</xdr:colOff>
      <xdr:row>952</xdr:row>
      <xdr:rowOff>200249</xdr:rowOff>
    </xdr:to>
    <xdr:cxnSp macro="">
      <xdr:nvCxnSpPr>
        <xdr:cNvPr id="18" name="Straight Arrow Connector 17">
          <a:extLst>
            <a:ext uri="{FF2B5EF4-FFF2-40B4-BE49-F238E27FC236}">
              <a16:creationId xmlns:a16="http://schemas.microsoft.com/office/drawing/2014/main" id="{A0F5BA91-38A3-E24D-AB64-A92BF56BBE20}"/>
            </a:ext>
          </a:extLst>
        </xdr:cNvPr>
        <xdr:cNvCxnSpPr/>
      </xdr:nvCxnSpPr>
      <xdr:spPr>
        <a:xfrm>
          <a:off x="13522109733" y="30267630"/>
          <a:ext cx="10539" cy="4380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665238</xdr:colOff>
      <xdr:row>950</xdr:row>
      <xdr:rowOff>32987</xdr:rowOff>
    </xdr:from>
    <xdr:to>
      <xdr:col>2</xdr:col>
      <xdr:colOff>16493</xdr:colOff>
      <xdr:row>953</xdr:row>
      <xdr:rowOff>186927</xdr:rowOff>
    </xdr:to>
    <xdr:sp macro="" textlink="">
      <xdr:nvSpPr>
        <xdr:cNvPr id="19" name="Right Brace 18">
          <a:extLst>
            <a:ext uri="{FF2B5EF4-FFF2-40B4-BE49-F238E27FC236}">
              <a16:creationId xmlns:a16="http://schemas.microsoft.com/office/drawing/2014/main" id="{93C5E82D-317C-484A-A520-CE94835FF2F5}"/>
            </a:ext>
          </a:extLst>
        </xdr:cNvPr>
        <xdr:cNvSpPr/>
      </xdr:nvSpPr>
      <xdr:spPr>
        <a:xfrm>
          <a:off x="13523324507" y="30131987"/>
          <a:ext cx="176755" cy="763540"/>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626753</xdr:colOff>
      <xdr:row>961</xdr:row>
      <xdr:rowOff>147561</xdr:rowOff>
    </xdr:from>
    <xdr:ext cx="2771660" cy="35112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1081EE96-DCE3-FD42-902C-C6B7228F4E96}"/>
                </a:ext>
              </a:extLst>
            </xdr:cNvPr>
            <xdr:cNvSpPr txBox="1"/>
          </xdr:nvSpPr>
          <xdr:spPr>
            <a:xfrm>
              <a:off x="13518291587" y="32481761"/>
              <a:ext cx="277166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=2)=</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35</m:t>
                        </m:r>
                      </m:num>
                      <m:den>
                        <m:r>
                          <a:rPr lang="en-US" sz="1100" b="0" i="1">
                            <a:latin typeface="Cambria Math" panose="02040503050406030204" pitchFamily="18" charset="0"/>
                          </a:rPr>
                          <m:t>15%−5%</m:t>
                        </m:r>
                      </m:den>
                    </m:f>
                    <m:r>
                      <a:rPr lang="en-US" sz="1100" b="0" i="1">
                        <a:latin typeface="Cambria Math" panose="02040503050406030204" pitchFamily="18" charset="0"/>
                      </a:rPr>
                      <m:t>=350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1081EE96-DCE3-FD42-902C-C6B7228F4E96}"/>
                </a:ext>
              </a:extLst>
            </xdr:cNvPr>
            <xdr:cNvSpPr txBox="1"/>
          </xdr:nvSpPr>
          <xdr:spPr>
            <a:xfrm>
              <a:off x="13518291587" y="32481761"/>
              <a:ext cx="277166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(𝑡=2)=𝐷𝐼𝑉/(𝑟−𝑔)=35/(15%−5%)=350</a:t>
              </a:r>
              <a:endParaRPr lang="en-US" sz="1100"/>
            </a:p>
          </xdr:txBody>
        </xdr:sp>
      </mc:Fallback>
    </mc:AlternateContent>
    <xdr:clientData/>
  </xdr:oneCellAnchor>
  <xdr:oneCellAnchor>
    <xdr:from>
      <xdr:col>1</xdr:col>
      <xdr:colOff>566278</xdr:colOff>
      <xdr:row>971</xdr:row>
      <xdr:rowOff>169553</xdr:rowOff>
    </xdr:from>
    <xdr:ext cx="3854733" cy="35150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5A6E4E32-D5E5-9B41-B9D5-55E72752A9E3}"/>
                </a:ext>
              </a:extLst>
            </xdr:cNvPr>
            <xdr:cNvSpPr txBox="1"/>
          </xdr:nvSpPr>
          <xdr:spPr>
            <a:xfrm>
              <a:off x="13519745489" y="34573853"/>
              <a:ext cx="3854733" cy="3515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𝑡</m:t>
                        </m:r>
                        <m:r>
                          <a:rPr lang="en-US" sz="1100" b="0" i="1">
                            <a:latin typeface="Cambria Math" panose="02040503050406030204" pitchFamily="18" charset="0"/>
                          </a:rPr>
                          <m:t>=0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350+30</m:t>
                        </m:r>
                      </m:num>
                      <m:den>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1+15%</m:t>
                                </m:r>
                              </m:e>
                            </m:d>
                          </m:e>
                          <m:sup>
                            <m:r>
                              <a:rPr lang="he-IL" sz="1100" b="0" i="1">
                                <a:latin typeface="Cambria Math" panose="02040503050406030204" pitchFamily="18" charset="0"/>
                              </a:rPr>
                              <m:t>2</m:t>
                            </m:r>
                          </m:sup>
                        </m:sSup>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20</m:t>
                        </m:r>
                      </m:num>
                      <m:den>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1+15%</m:t>
                                </m:r>
                              </m:e>
                            </m:d>
                          </m:e>
                          <m:sup>
                            <m:r>
                              <a:rPr lang="he-IL" sz="1100" b="0" i="1">
                                <a:latin typeface="Cambria Math" panose="02040503050406030204" pitchFamily="18" charset="0"/>
                              </a:rPr>
                              <m:t>1</m:t>
                            </m:r>
                          </m:sup>
                        </m:sSup>
                      </m:den>
                    </m:f>
                    <m:r>
                      <a:rPr lang="he-IL" sz="1100" b="0" i="1">
                        <a:latin typeface="Cambria Math" panose="02040503050406030204" pitchFamily="18" charset="0"/>
                      </a:rPr>
                      <m:t>=304.73</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5A6E4E32-D5E5-9B41-B9D5-55E72752A9E3}"/>
                </a:ext>
              </a:extLst>
            </xdr:cNvPr>
            <xdr:cNvSpPr txBox="1"/>
          </xdr:nvSpPr>
          <xdr:spPr>
            <a:xfrm>
              <a:off x="13519745489" y="34573853"/>
              <a:ext cx="3854733" cy="3515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(𝑡=0)=</a:t>
              </a:r>
              <a:r>
                <a:rPr lang="he-IL" sz="1100" b="0" i="0">
                  <a:latin typeface="Cambria Math" panose="02040503050406030204" pitchFamily="18" charset="0"/>
                </a:rPr>
                <a:t>(350+30)/(1+15%)^2 +20/(1+15%)^1 =304.73</a:t>
              </a:r>
              <a:endParaRPr lang="en-US" sz="1100"/>
            </a:p>
          </xdr:txBody>
        </xdr:sp>
      </mc:Fallback>
    </mc:AlternateContent>
    <xdr:clientData/>
  </xdr:oneCellAnchor>
  <xdr:twoCellAnchor>
    <xdr:from>
      <xdr:col>4</xdr:col>
      <xdr:colOff>357359</xdr:colOff>
      <xdr:row>970</xdr:row>
      <xdr:rowOff>126450</xdr:rowOff>
    </xdr:from>
    <xdr:to>
      <xdr:col>4</xdr:col>
      <xdr:colOff>758701</xdr:colOff>
      <xdr:row>971</xdr:row>
      <xdr:rowOff>137446</xdr:rowOff>
    </xdr:to>
    <xdr:cxnSp macro="">
      <xdr:nvCxnSpPr>
        <xdr:cNvPr id="22" name="Straight Arrow Connector 21">
          <a:extLst>
            <a:ext uri="{FF2B5EF4-FFF2-40B4-BE49-F238E27FC236}">
              <a16:creationId xmlns:a16="http://schemas.microsoft.com/office/drawing/2014/main" id="{367D977E-4FB0-A94F-97E8-69AA24505BF8}"/>
            </a:ext>
          </a:extLst>
        </xdr:cNvPr>
        <xdr:cNvCxnSpPr/>
      </xdr:nvCxnSpPr>
      <xdr:spPr>
        <a:xfrm flipH="1" flipV="1">
          <a:off x="13520931299" y="34327550"/>
          <a:ext cx="401342" cy="2141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516796</xdr:colOff>
      <xdr:row>973</xdr:row>
      <xdr:rowOff>137445</xdr:rowOff>
    </xdr:from>
    <xdr:to>
      <xdr:col>4</xdr:col>
      <xdr:colOff>681731</xdr:colOff>
      <xdr:row>974</xdr:row>
      <xdr:rowOff>164936</xdr:rowOff>
    </xdr:to>
    <xdr:cxnSp macro="">
      <xdr:nvCxnSpPr>
        <xdr:cNvPr id="23" name="Straight Arrow Connector 22">
          <a:extLst>
            <a:ext uri="{FF2B5EF4-FFF2-40B4-BE49-F238E27FC236}">
              <a16:creationId xmlns:a16="http://schemas.microsoft.com/office/drawing/2014/main" id="{C6DD5C9B-9944-8E46-84CC-00E736B9DDFF}"/>
            </a:ext>
          </a:extLst>
        </xdr:cNvPr>
        <xdr:cNvCxnSpPr/>
      </xdr:nvCxnSpPr>
      <xdr:spPr>
        <a:xfrm flipH="1">
          <a:off x="13521008269" y="34948145"/>
          <a:ext cx="164935" cy="2306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71471</xdr:colOff>
      <xdr:row>974</xdr:row>
      <xdr:rowOff>16493</xdr:rowOff>
    </xdr:from>
    <xdr:to>
      <xdr:col>3</xdr:col>
      <xdr:colOff>263894</xdr:colOff>
      <xdr:row>975</xdr:row>
      <xdr:rowOff>54979</xdr:rowOff>
    </xdr:to>
    <xdr:cxnSp macro="">
      <xdr:nvCxnSpPr>
        <xdr:cNvPr id="24" name="Straight Arrow Connector 23">
          <a:extLst>
            <a:ext uri="{FF2B5EF4-FFF2-40B4-BE49-F238E27FC236}">
              <a16:creationId xmlns:a16="http://schemas.microsoft.com/office/drawing/2014/main" id="{73490298-077E-DD4B-9D25-4F44458084B7}"/>
            </a:ext>
          </a:extLst>
        </xdr:cNvPr>
        <xdr:cNvCxnSpPr/>
      </xdr:nvCxnSpPr>
      <xdr:spPr>
        <a:xfrm>
          <a:off x="13522251606" y="35030393"/>
          <a:ext cx="192423" cy="2416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593765</xdr:colOff>
      <xdr:row>970</xdr:row>
      <xdr:rowOff>159437</xdr:rowOff>
    </xdr:from>
    <xdr:to>
      <xdr:col>3</xdr:col>
      <xdr:colOff>258398</xdr:colOff>
      <xdr:row>971</xdr:row>
      <xdr:rowOff>142943</xdr:rowOff>
    </xdr:to>
    <xdr:cxnSp macro="">
      <xdr:nvCxnSpPr>
        <xdr:cNvPr id="25" name="Straight Arrow Connector 24">
          <a:extLst>
            <a:ext uri="{FF2B5EF4-FFF2-40B4-BE49-F238E27FC236}">
              <a16:creationId xmlns:a16="http://schemas.microsoft.com/office/drawing/2014/main" id="{19E9F85F-F432-9C4E-9791-AB5C935EEEF4}"/>
            </a:ext>
          </a:extLst>
        </xdr:cNvPr>
        <xdr:cNvCxnSpPr/>
      </xdr:nvCxnSpPr>
      <xdr:spPr>
        <a:xfrm flipV="1">
          <a:off x="13522257102" y="34360537"/>
          <a:ext cx="490133" cy="1867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136613</xdr:colOff>
      <xdr:row>998</xdr:row>
      <xdr:rowOff>30358</xdr:rowOff>
    </xdr:from>
    <xdr:ext cx="2260600" cy="346570"/>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864C2702-686A-4141-8D76-407552B70229}"/>
                </a:ext>
              </a:extLst>
            </xdr:cNvPr>
            <xdr:cNvSpPr txBox="1"/>
          </xdr:nvSpPr>
          <xdr:spPr>
            <a:xfrm>
              <a:off x="13521769287" y="399210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6" name="TextBox 25">
              <a:extLst>
                <a:ext uri="{FF2B5EF4-FFF2-40B4-BE49-F238E27FC236}">
                  <a16:creationId xmlns:a16="http://schemas.microsoft.com/office/drawing/2014/main" id="{864C2702-686A-4141-8D76-407552B70229}"/>
                </a:ext>
              </a:extLst>
            </xdr:cNvPr>
            <xdr:cNvSpPr txBox="1"/>
          </xdr:nvSpPr>
          <xdr:spPr>
            <a:xfrm>
              <a:off x="13521769287" y="39921058"/>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𝑃_𝑆=(𝐷𝐼𝑉_1)/(𝑟−𝑔)</a:t>
              </a:r>
              <a:endParaRPr lang="en-US" sz="1100"/>
            </a:p>
          </xdr:txBody>
        </xdr:sp>
      </mc:Fallback>
    </mc:AlternateContent>
    <xdr:clientData/>
  </xdr:oneCellAnchor>
  <xdr:oneCellAnchor>
    <xdr:from>
      <xdr:col>3</xdr:col>
      <xdr:colOff>703306</xdr:colOff>
      <xdr:row>998</xdr:row>
      <xdr:rowOff>60717</xdr:rowOff>
    </xdr:from>
    <xdr:ext cx="1415620" cy="34657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C6CFBA2C-7D86-114F-8BD1-8D1142591BD4}"/>
                </a:ext>
              </a:extLst>
            </xdr:cNvPr>
            <xdr:cNvSpPr txBox="1"/>
          </xdr:nvSpPr>
          <xdr:spPr>
            <a:xfrm>
              <a:off x="13520396574" y="399514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C6CFBA2C-7D86-114F-8BD1-8D1142591BD4}"/>
                </a:ext>
              </a:extLst>
            </xdr:cNvPr>
            <xdr:cNvSpPr txBox="1"/>
          </xdr:nvSpPr>
          <xdr:spPr>
            <a:xfrm>
              <a:off x="13520396574" y="3995141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5</xdr:col>
      <xdr:colOff>728605</xdr:colOff>
      <xdr:row>998</xdr:row>
      <xdr:rowOff>45537</xdr:rowOff>
    </xdr:from>
    <xdr:ext cx="1415620" cy="34657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C12EF81A-B038-1148-9FFC-6ED26875E64A}"/>
                </a:ext>
              </a:extLst>
            </xdr:cNvPr>
            <xdr:cNvSpPr txBox="1"/>
          </xdr:nvSpPr>
          <xdr:spPr>
            <a:xfrm>
              <a:off x="13518720275" y="399362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C12EF81A-B038-1148-9FFC-6ED26875E64A}"/>
                </a:ext>
              </a:extLst>
            </xdr:cNvPr>
            <xdr:cNvSpPr txBox="1"/>
          </xdr:nvSpPr>
          <xdr:spPr>
            <a:xfrm>
              <a:off x="13518720275" y="3993623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twoCellAnchor>
    <xdr:from>
      <xdr:col>5</xdr:col>
      <xdr:colOff>610259</xdr:colOff>
      <xdr:row>1001</xdr:row>
      <xdr:rowOff>71472</xdr:rowOff>
    </xdr:from>
    <xdr:to>
      <xdr:col>5</xdr:col>
      <xdr:colOff>758700</xdr:colOff>
      <xdr:row>1002</xdr:row>
      <xdr:rowOff>71472</xdr:rowOff>
    </xdr:to>
    <xdr:sp macro="" textlink="">
      <xdr:nvSpPr>
        <xdr:cNvPr id="29" name="Down Arrow 28">
          <a:extLst>
            <a:ext uri="{FF2B5EF4-FFF2-40B4-BE49-F238E27FC236}">
              <a16:creationId xmlns:a16="http://schemas.microsoft.com/office/drawing/2014/main" id="{A6363618-9FBF-3540-BBA5-FFA4B05E6B3F}"/>
            </a:ext>
          </a:extLst>
        </xdr:cNvPr>
        <xdr:cNvSpPr/>
      </xdr:nvSpPr>
      <xdr:spPr>
        <a:xfrm>
          <a:off x="13520105800" y="40571772"/>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521877</xdr:colOff>
      <xdr:row>1006</xdr:row>
      <xdr:rowOff>82707</xdr:rowOff>
    </xdr:from>
    <xdr:ext cx="1415620" cy="346570"/>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EAA53AC-CC33-4847-A834-315B32646E9C}"/>
                </a:ext>
              </a:extLst>
            </xdr:cNvPr>
            <xdr:cNvSpPr txBox="1"/>
          </xdr:nvSpPr>
          <xdr:spPr>
            <a:xfrm>
              <a:off x="13520578003" y="4159900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∗(1+</m:t>
                    </m:r>
                    <m:r>
                      <a:rPr lang="en-US" sz="1100" b="0" i="1">
                        <a:latin typeface="Cambria Math" panose="02040503050406030204" pitchFamily="18" charset="0"/>
                      </a:rPr>
                      <m:t>𝑟</m:t>
                    </m:r>
                    <m:r>
                      <a:rPr lang="en-US" sz="1100" b="0" i="1">
                        <a:latin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AEAA53AC-CC33-4847-A834-315B32646E9C}"/>
                </a:ext>
              </a:extLst>
            </xdr:cNvPr>
            <xdr:cNvSpPr txBox="1"/>
          </xdr:nvSpPr>
          <xdr:spPr>
            <a:xfrm>
              <a:off x="13520578003" y="41599007"/>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𝑃_𝑆=(𝐷𝐼𝑉_0)/(𝑟−𝑔)</a:t>
              </a:r>
              <a:r>
                <a:rPr lang="he-IL" sz="1100" b="0" i="0">
                  <a:latin typeface="Cambria Math" panose="02040503050406030204" pitchFamily="18" charset="0"/>
                </a:rPr>
                <a:t>∗(1+</a:t>
              </a:r>
              <a:r>
                <a:rPr lang="en-US" sz="1100" b="0" i="0">
                  <a:latin typeface="Cambria Math" panose="02040503050406030204" pitchFamily="18" charset="0"/>
                </a:rPr>
                <a:t>𝑟)</a:t>
              </a:r>
              <a:endParaRPr lang="en-US" sz="1100"/>
            </a:p>
          </xdr:txBody>
        </xdr:sp>
      </mc:Fallback>
    </mc:AlternateContent>
    <xdr:clientData/>
  </xdr:oneCellAnchor>
  <xdr:oneCellAnchor>
    <xdr:from>
      <xdr:col>2</xdr:col>
      <xdr:colOff>500302</xdr:colOff>
      <xdr:row>1008</xdr:row>
      <xdr:rowOff>66214</xdr:rowOff>
    </xdr:from>
    <xdr:ext cx="2278364" cy="324641"/>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0408C993-9C33-4147-9FB0-69BC0186A2F6}"/>
                </a:ext>
              </a:extLst>
            </xdr:cNvPr>
            <xdr:cNvSpPr txBox="1"/>
          </xdr:nvSpPr>
          <xdr:spPr>
            <a:xfrm>
              <a:off x="13520562334" y="41988914"/>
              <a:ext cx="227836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10%−6%</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1+10%</m:t>
                        </m:r>
                      </m:e>
                    </m:d>
                    <m:r>
                      <a:rPr lang="he-IL" sz="1100" b="0" i="1">
                        <a:latin typeface="Cambria Math" panose="02040503050406030204" pitchFamily="18" charset="0"/>
                      </a:rPr>
                      <m:t>=55</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0408C993-9C33-4147-9FB0-69BC0186A2F6}"/>
                </a:ext>
              </a:extLst>
            </xdr:cNvPr>
            <xdr:cNvSpPr txBox="1"/>
          </xdr:nvSpPr>
          <xdr:spPr>
            <a:xfrm>
              <a:off x="13520562334" y="41988914"/>
              <a:ext cx="227836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∗(1+10%)=55</a:t>
              </a:r>
              <a:endParaRPr lang="en-US" sz="1100"/>
            </a:p>
          </xdr:txBody>
        </xdr:sp>
      </mc:Fallback>
    </mc:AlternateContent>
    <xdr:clientData/>
  </xdr:oneCellAnchor>
  <xdr:twoCellAnchor>
    <xdr:from>
      <xdr:col>4</xdr:col>
      <xdr:colOff>676233</xdr:colOff>
      <xdr:row>1005</xdr:row>
      <xdr:rowOff>0</xdr:rowOff>
    </xdr:from>
    <xdr:to>
      <xdr:col>4</xdr:col>
      <xdr:colOff>824674</xdr:colOff>
      <xdr:row>1006</xdr:row>
      <xdr:rowOff>0</xdr:rowOff>
    </xdr:to>
    <xdr:sp macro="" textlink="">
      <xdr:nvSpPr>
        <xdr:cNvPr id="32" name="Down Arrow 31">
          <a:extLst>
            <a:ext uri="{FF2B5EF4-FFF2-40B4-BE49-F238E27FC236}">
              <a16:creationId xmlns:a16="http://schemas.microsoft.com/office/drawing/2014/main" id="{C584C210-2235-0F46-9934-60683E9063CE}"/>
            </a:ext>
          </a:extLst>
        </xdr:cNvPr>
        <xdr:cNvSpPr/>
      </xdr:nvSpPr>
      <xdr:spPr>
        <a:xfrm>
          <a:off x="13520865326" y="41313100"/>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698224</xdr:colOff>
      <xdr:row>1005</xdr:row>
      <xdr:rowOff>10996</xdr:rowOff>
    </xdr:from>
    <xdr:to>
      <xdr:col>7</xdr:col>
      <xdr:colOff>21990</xdr:colOff>
      <xdr:row>1006</xdr:row>
      <xdr:rowOff>10996</xdr:rowOff>
    </xdr:to>
    <xdr:sp macro="" textlink="">
      <xdr:nvSpPr>
        <xdr:cNvPr id="33" name="Down Arrow 32">
          <a:extLst>
            <a:ext uri="{FF2B5EF4-FFF2-40B4-BE49-F238E27FC236}">
              <a16:creationId xmlns:a16="http://schemas.microsoft.com/office/drawing/2014/main" id="{55526891-856D-DD48-A122-CC185FE1AB2D}"/>
            </a:ext>
          </a:extLst>
        </xdr:cNvPr>
        <xdr:cNvSpPr/>
      </xdr:nvSpPr>
      <xdr:spPr>
        <a:xfrm>
          <a:off x="13519191510" y="41324096"/>
          <a:ext cx="149266"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79861</xdr:colOff>
      <xdr:row>1006</xdr:row>
      <xdr:rowOff>122506</xdr:rowOff>
    </xdr:from>
    <xdr:ext cx="1415620" cy="346570"/>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EF66D573-E17F-9A44-95EB-ADF88AA58630}"/>
                </a:ext>
              </a:extLst>
            </xdr:cNvPr>
            <xdr:cNvSpPr txBox="1"/>
          </xdr:nvSpPr>
          <xdr:spPr>
            <a:xfrm>
              <a:off x="13518543519" y="41638806"/>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EF66D573-E17F-9A44-95EB-ADF88AA58630}"/>
                </a:ext>
              </a:extLst>
            </xdr:cNvPr>
            <xdr:cNvSpPr txBox="1"/>
          </xdr:nvSpPr>
          <xdr:spPr>
            <a:xfrm>
              <a:off x="13518543519" y="41638806"/>
              <a:ext cx="141562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𝑃_𝑆=𝐷𝐼𝑉_0+(𝐷𝐼𝑉_1)/(𝑟−𝑔)</a:t>
              </a:r>
              <a:endParaRPr lang="en-US" sz="1100"/>
            </a:p>
          </xdr:txBody>
        </xdr:sp>
      </mc:Fallback>
    </mc:AlternateContent>
    <xdr:clientData/>
  </xdr:oneCellAnchor>
  <xdr:oneCellAnchor>
    <xdr:from>
      <xdr:col>6</xdr:col>
      <xdr:colOff>63368</xdr:colOff>
      <xdr:row>1010</xdr:row>
      <xdr:rowOff>155493</xdr:rowOff>
    </xdr:from>
    <xdr:ext cx="1415620" cy="329064"/>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6130C26D-6984-1247-95EC-4ADF5F7AB9B4}"/>
                </a:ext>
              </a:extLst>
            </xdr:cNvPr>
            <xdr:cNvSpPr txBox="1"/>
          </xdr:nvSpPr>
          <xdr:spPr>
            <a:xfrm>
              <a:off x="13518560012" y="42484593"/>
              <a:ext cx="1415620" cy="3290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he-IL" sz="1100" b="0" i="1">
                        <a:latin typeface="Cambria Math" panose="02040503050406030204" pitchFamily="18" charset="0"/>
                      </a:rPr>
                      <m:t>2</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2∗(1+6%)</m:t>
                        </m:r>
                      </m:num>
                      <m:den>
                        <m:r>
                          <a:rPr lang="he-IL" sz="1100" b="0" i="1">
                            <a:latin typeface="Cambria Math" panose="02040503050406030204" pitchFamily="18" charset="0"/>
                          </a:rPr>
                          <m:t>10%−6%</m:t>
                        </m:r>
                      </m:den>
                    </m:f>
                  </m:oMath>
                </m:oMathPara>
              </a14:m>
              <a:endParaRPr lang="en-US" sz="1100"/>
            </a:p>
          </xdr:txBody>
        </xdr:sp>
      </mc:Choice>
      <mc:Fallback xmlns="">
        <xdr:sp macro="" textlink="">
          <xdr:nvSpPr>
            <xdr:cNvPr id="35" name="TextBox 34">
              <a:extLst>
                <a:ext uri="{FF2B5EF4-FFF2-40B4-BE49-F238E27FC236}">
                  <a16:creationId xmlns:a16="http://schemas.microsoft.com/office/drawing/2014/main" id="{6130C26D-6984-1247-95EC-4ADF5F7AB9B4}"/>
                </a:ext>
              </a:extLst>
            </xdr:cNvPr>
            <xdr:cNvSpPr txBox="1"/>
          </xdr:nvSpPr>
          <xdr:spPr>
            <a:xfrm>
              <a:off x="13518560012" y="42484593"/>
              <a:ext cx="1415620" cy="3290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2∗(1+6%)</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endParaRPr lang="en-US" sz="1100"/>
            </a:p>
          </xdr:txBody>
        </xdr:sp>
      </mc:Fallback>
    </mc:AlternateContent>
    <xdr:clientData/>
  </xdr:oneCellAnchor>
  <xdr:twoCellAnchor>
    <xdr:from>
      <xdr:col>6</xdr:col>
      <xdr:colOff>76969</xdr:colOff>
      <xdr:row>1009</xdr:row>
      <xdr:rowOff>192425</xdr:rowOff>
    </xdr:from>
    <xdr:to>
      <xdr:col>7</xdr:col>
      <xdr:colOff>93464</xdr:colOff>
      <xdr:row>1010</xdr:row>
      <xdr:rowOff>186927</xdr:rowOff>
    </xdr:to>
    <xdr:sp macro="" textlink="">
      <xdr:nvSpPr>
        <xdr:cNvPr id="36" name="Left Brace 35">
          <a:extLst>
            <a:ext uri="{FF2B5EF4-FFF2-40B4-BE49-F238E27FC236}">
              <a16:creationId xmlns:a16="http://schemas.microsoft.com/office/drawing/2014/main" id="{3A3FAB69-F1EE-BE4B-96D7-DCCFE750E152}"/>
            </a:ext>
          </a:extLst>
        </xdr:cNvPr>
        <xdr:cNvSpPr/>
      </xdr:nvSpPr>
      <xdr:spPr>
        <a:xfrm rot="5400000">
          <a:off x="13519442183" y="41996178"/>
          <a:ext cx="197702" cy="84199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604761</xdr:colOff>
      <xdr:row>1010</xdr:row>
      <xdr:rowOff>115455</xdr:rowOff>
    </xdr:from>
    <xdr:to>
      <xdr:col>4</xdr:col>
      <xdr:colOff>753202</xdr:colOff>
      <xdr:row>1011</xdr:row>
      <xdr:rowOff>115455</xdr:rowOff>
    </xdr:to>
    <xdr:sp macro="" textlink="">
      <xdr:nvSpPr>
        <xdr:cNvPr id="37" name="Down Arrow 36">
          <a:extLst>
            <a:ext uri="{FF2B5EF4-FFF2-40B4-BE49-F238E27FC236}">
              <a16:creationId xmlns:a16="http://schemas.microsoft.com/office/drawing/2014/main" id="{85648152-B564-F74E-9560-53B721153C9E}"/>
            </a:ext>
          </a:extLst>
        </xdr:cNvPr>
        <xdr:cNvSpPr/>
      </xdr:nvSpPr>
      <xdr:spPr>
        <a:xfrm>
          <a:off x="13520936798" y="42444555"/>
          <a:ext cx="148441" cy="2032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91593</xdr:colOff>
      <xdr:row>1013</xdr:row>
      <xdr:rowOff>110367</xdr:rowOff>
    </xdr:from>
    <xdr:to>
      <xdr:col>6</xdr:col>
      <xdr:colOff>469675</xdr:colOff>
      <xdr:row>1014</xdr:row>
      <xdr:rowOff>55388</xdr:rowOff>
    </xdr:to>
    <xdr:sp macro="" textlink="">
      <xdr:nvSpPr>
        <xdr:cNvPr id="38" name="Down Arrow 37">
          <a:extLst>
            <a:ext uri="{FF2B5EF4-FFF2-40B4-BE49-F238E27FC236}">
              <a16:creationId xmlns:a16="http://schemas.microsoft.com/office/drawing/2014/main" id="{64C39A2C-01C2-6242-9283-A98CD1D45F2D}"/>
            </a:ext>
          </a:extLst>
        </xdr:cNvPr>
        <xdr:cNvSpPr/>
      </xdr:nvSpPr>
      <xdr:spPr>
        <a:xfrm rot="17503580">
          <a:off x="13520097005" y="42521387"/>
          <a:ext cx="148221" cy="120358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395378</xdr:colOff>
      <xdr:row>1040</xdr:row>
      <xdr:rowOff>37605</xdr:rowOff>
    </xdr:from>
    <xdr:ext cx="4194613" cy="497700"/>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E46F2BE6-39B7-CD42-9304-A232675AEA05}"/>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𝑫𝑰𝑽</m:t>
                            </m:r>
                          </m:num>
                          <m:den>
                            <m:r>
                              <a:rPr lang="en-US" sz="1100" b="1" i="1">
                                <a:solidFill>
                                  <a:srgbClr val="FF0000"/>
                                </a:solidFill>
                                <a:latin typeface="Cambria Math" panose="02040503050406030204" pitchFamily="18" charset="0"/>
                              </a:rPr>
                              <m:t>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𝒈</m:t>
                            </m:r>
                          </m:den>
                        </m:f>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𝟎</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𝟓𝟓</m:t>
                            </m:r>
                          </m:num>
                          <m:den>
                            <m:r>
                              <a:rPr lang="en-US" sz="1100" b="1" i="1">
                                <a:solidFill>
                                  <a:srgbClr val="FF0000"/>
                                </a:solidFill>
                                <a:latin typeface="Cambria Math" panose="02040503050406030204" pitchFamily="18" charset="0"/>
                              </a:rPr>
                              <m:t>𝟐𝟓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𝟏𝟎</m:t>
                            </m:r>
                            <m:r>
                              <a:rPr lang="en-US" sz="1100" b="1" i="1">
                                <a:solidFill>
                                  <a:srgbClr val="FF0000"/>
                                </a:solidFill>
                                <a:latin typeface="Cambria Math" panose="02040503050406030204" pitchFamily="18" charset="0"/>
                              </a:rPr>
                              <m:t>%</m:t>
                            </m:r>
                          </m:den>
                        </m:f>
                      </m:den>
                    </m:f>
                    <m:r>
                      <a:rPr lang="en-US" sz="1100" b="0" i="1">
                        <a:latin typeface="Cambria Math" panose="02040503050406030204" pitchFamily="18" charset="0"/>
                      </a:rPr>
                      <m:t>=0.15=15%</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E46F2BE6-39B7-CD42-9304-A232675AEA05}"/>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→0.55/(</a:t>
              </a:r>
              <a:r>
                <a:rPr lang="en-US" sz="1100" b="1" i="0">
                  <a:solidFill>
                    <a:srgbClr val="FF0000"/>
                  </a:solidFill>
                  <a:latin typeface="Cambria Math" panose="02040503050406030204" pitchFamily="18" charset="0"/>
                </a:rPr>
                <a:t>𝑫𝑰𝑽/(𝒓−𝒈)</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=0.55/(</a:t>
              </a:r>
              <a:r>
                <a:rPr lang="en-US" sz="1100" b="1" i="0">
                  <a:solidFill>
                    <a:srgbClr val="FF0000"/>
                  </a:solidFill>
                  <a:latin typeface="Cambria Math" panose="02040503050406030204" pitchFamily="18" charset="0"/>
                </a:rPr>
                <a:t>(𝟎.𝟓𝟓)/(𝟐𝟓%−𝟏𝟎%)</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=0.15=15%</a:t>
              </a:r>
              <a:endParaRPr lang="en-US" sz="1100"/>
            </a:p>
          </xdr:txBody>
        </xdr:sp>
      </mc:Fallback>
    </mc:AlternateContent>
    <xdr:clientData/>
  </xdr:oneCellAnchor>
  <xdr:oneCellAnchor>
    <xdr:from>
      <xdr:col>0</xdr:col>
      <xdr:colOff>594360</xdr:colOff>
      <xdr:row>55</xdr:row>
      <xdr:rowOff>1270</xdr:rowOff>
    </xdr:from>
    <xdr:ext cx="3327518" cy="345672"/>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FC712984-98D5-3E68-AE7B-0DD3623B450E}"/>
                </a:ext>
              </a:extLst>
            </xdr:cNvPr>
            <xdr:cNvSpPr txBox="1"/>
          </xdr:nvSpPr>
          <xdr:spPr>
            <a:xfrm>
              <a:off x="13479454762" y="774319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40" name="TextBox 39">
              <a:extLst>
                <a:ext uri="{FF2B5EF4-FFF2-40B4-BE49-F238E27FC236}">
                  <a16:creationId xmlns:a16="http://schemas.microsoft.com/office/drawing/2014/main" id="{FC712984-98D5-3E68-AE7B-0DD3623B450E}"/>
                </a:ext>
              </a:extLst>
            </xdr:cNvPr>
            <xdr:cNvSpPr txBox="1"/>
          </xdr:nvSpPr>
          <xdr:spPr>
            <a:xfrm>
              <a:off x="13479454762" y="774319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0</xdr:col>
      <xdr:colOff>584200</xdr:colOff>
      <xdr:row>58</xdr:row>
      <xdr:rowOff>173990</xdr:rowOff>
    </xdr:from>
    <xdr:ext cx="3327518" cy="31579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A4A7B2E9-C692-B1A4-7A30-8E3EE611915A}"/>
                </a:ext>
              </a:extLst>
            </xdr:cNvPr>
            <xdr:cNvSpPr txBox="1"/>
          </xdr:nvSpPr>
          <xdr:spPr>
            <a:xfrm>
              <a:off x="13479464922" y="832231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41" name="TextBox 40">
              <a:extLst>
                <a:ext uri="{FF2B5EF4-FFF2-40B4-BE49-F238E27FC236}">
                  <a16:creationId xmlns:a16="http://schemas.microsoft.com/office/drawing/2014/main" id="{A4A7B2E9-C692-B1A4-7A30-8E3EE611915A}"/>
                </a:ext>
              </a:extLst>
            </xdr:cNvPr>
            <xdr:cNvSpPr txBox="1"/>
          </xdr:nvSpPr>
          <xdr:spPr>
            <a:xfrm>
              <a:off x="13479464922" y="832231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a:t>
              </a:r>
              <a:r>
                <a:rPr lang="he-IL" sz="1100" b="0" i="0">
                  <a:latin typeface="Cambria Math" panose="02040503050406030204" pitchFamily="18" charset="0"/>
                </a:rPr>
                <a:t>/</a:t>
              </a:r>
              <a:r>
                <a:rPr lang="en-US" sz="1100" b="0" i="0">
                  <a:latin typeface="Cambria Math" panose="02040503050406030204" pitchFamily="18" charset="0"/>
                </a:rPr>
                <a:t>𝐸𝑃𝑆</a:t>
              </a:r>
              <a:endParaRPr lang="en-US" sz="1100"/>
            </a:p>
          </xdr:txBody>
        </xdr:sp>
      </mc:Fallback>
    </mc:AlternateContent>
    <xdr:clientData/>
  </xdr:oneCellAnchor>
  <xdr:twoCellAnchor editAs="oneCell">
    <xdr:from>
      <xdr:col>2</xdr:col>
      <xdr:colOff>436881</xdr:colOff>
      <xdr:row>24</xdr:row>
      <xdr:rowOff>182880</xdr:rowOff>
    </xdr:from>
    <xdr:to>
      <xdr:col>4</xdr:col>
      <xdr:colOff>424892</xdr:colOff>
      <xdr:row>32</xdr:row>
      <xdr:rowOff>195580</xdr:rowOff>
    </xdr:to>
    <xdr:pic>
      <xdr:nvPicPr>
        <xdr:cNvPr id="42" name="Picture 41" descr="Snip Snip Scissors Robbie Rocket - Top Teacher">
          <a:extLst>
            <a:ext uri="{FF2B5EF4-FFF2-40B4-BE49-F238E27FC236}">
              <a16:creationId xmlns:a16="http://schemas.microsoft.com/office/drawing/2014/main" id="{A902B29F-BB88-89DF-0F37-FC6C3F8A794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479659908" y="4876800"/>
          <a:ext cx="1633931" cy="1638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325120</xdr:colOff>
      <xdr:row>257</xdr:row>
      <xdr:rowOff>91440</xdr:rowOff>
    </xdr:from>
    <xdr:to>
      <xdr:col>6</xdr:col>
      <xdr:colOff>426720</xdr:colOff>
      <xdr:row>257</xdr:row>
      <xdr:rowOff>91440</xdr:rowOff>
    </xdr:to>
    <xdr:cxnSp macro="">
      <xdr:nvCxnSpPr>
        <xdr:cNvPr id="44" name="Straight Arrow Connector 43">
          <a:extLst>
            <a:ext uri="{FF2B5EF4-FFF2-40B4-BE49-F238E27FC236}">
              <a16:creationId xmlns:a16="http://schemas.microsoft.com/office/drawing/2014/main" id="{70E8C5A5-1D7C-3340-1B8E-CDE1C9BC38DE}"/>
            </a:ext>
          </a:extLst>
        </xdr:cNvPr>
        <xdr:cNvCxnSpPr/>
      </xdr:nvCxnSpPr>
      <xdr:spPr>
        <a:xfrm>
          <a:off x="13478012160" y="40833040"/>
          <a:ext cx="5120640"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426720</xdr:colOff>
      <xdr:row>259</xdr:row>
      <xdr:rowOff>10160</xdr:rowOff>
    </xdr:from>
    <xdr:to>
      <xdr:col>5</xdr:col>
      <xdr:colOff>426720</xdr:colOff>
      <xdr:row>261</xdr:row>
      <xdr:rowOff>152400</xdr:rowOff>
    </xdr:to>
    <xdr:cxnSp macro="">
      <xdr:nvCxnSpPr>
        <xdr:cNvPr id="46" name="Straight Connector 45">
          <a:extLst>
            <a:ext uri="{FF2B5EF4-FFF2-40B4-BE49-F238E27FC236}">
              <a16:creationId xmlns:a16="http://schemas.microsoft.com/office/drawing/2014/main" id="{CAB46FF5-BA90-2237-5623-5A9159A29CC1}"/>
            </a:ext>
          </a:extLst>
        </xdr:cNvPr>
        <xdr:cNvCxnSpPr/>
      </xdr:nvCxnSpPr>
      <xdr:spPr>
        <a:xfrm>
          <a:off x="13478835120" y="41178480"/>
          <a:ext cx="0" cy="54864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325120</xdr:colOff>
      <xdr:row>259</xdr:row>
      <xdr:rowOff>40640</xdr:rowOff>
    </xdr:from>
    <xdr:to>
      <xdr:col>6</xdr:col>
      <xdr:colOff>325120</xdr:colOff>
      <xdr:row>261</xdr:row>
      <xdr:rowOff>142240</xdr:rowOff>
    </xdr:to>
    <xdr:cxnSp macro="">
      <xdr:nvCxnSpPr>
        <xdr:cNvPr id="47" name="Straight Connector 46">
          <a:extLst>
            <a:ext uri="{FF2B5EF4-FFF2-40B4-BE49-F238E27FC236}">
              <a16:creationId xmlns:a16="http://schemas.microsoft.com/office/drawing/2014/main" id="{ECF6F134-80E3-6D65-010F-36B365421748}"/>
            </a:ext>
          </a:extLst>
        </xdr:cNvPr>
        <xdr:cNvCxnSpPr/>
      </xdr:nvCxnSpPr>
      <xdr:spPr>
        <a:xfrm flipV="1">
          <a:off x="13478113760" y="41208960"/>
          <a:ext cx="0" cy="508000"/>
        </a:xfrm>
        <a:prstGeom prst="line">
          <a:avLst/>
        </a:prstGeom>
        <a:ln w="12700">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426720</xdr:colOff>
      <xdr:row>261</xdr:row>
      <xdr:rowOff>121920</xdr:rowOff>
    </xdr:from>
    <xdr:to>
      <xdr:col>6</xdr:col>
      <xdr:colOff>335280</xdr:colOff>
      <xdr:row>261</xdr:row>
      <xdr:rowOff>132080</xdr:rowOff>
    </xdr:to>
    <xdr:cxnSp macro="">
      <xdr:nvCxnSpPr>
        <xdr:cNvPr id="48" name="Straight Connector 47">
          <a:extLst>
            <a:ext uri="{FF2B5EF4-FFF2-40B4-BE49-F238E27FC236}">
              <a16:creationId xmlns:a16="http://schemas.microsoft.com/office/drawing/2014/main" id="{E37AC311-5134-E275-2AC2-AC7C6E6649E6}"/>
            </a:ext>
          </a:extLst>
        </xdr:cNvPr>
        <xdr:cNvCxnSpPr/>
      </xdr:nvCxnSpPr>
      <xdr:spPr>
        <a:xfrm flipH="1">
          <a:off x="13478103600" y="41696640"/>
          <a:ext cx="731520" cy="1016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325120</xdr:colOff>
      <xdr:row>272</xdr:row>
      <xdr:rowOff>91440</xdr:rowOff>
    </xdr:from>
    <xdr:to>
      <xdr:col>6</xdr:col>
      <xdr:colOff>426720</xdr:colOff>
      <xdr:row>272</xdr:row>
      <xdr:rowOff>91440</xdr:rowOff>
    </xdr:to>
    <xdr:cxnSp macro="">
      <xdr:nvCxnSpPr>
        <xdr:cNvPr id="51" name="Straight Arrow Connector 50">
          <a:extLst>
            <a:ext uri="{FF2B5EF4-FFF2-40B4-BE49-F238E27FC236}">
              <a16:creationId xmlns:a16="http://schemas.microsoft.com/office/drawing/2014/main" id="{204852C8-7AC4-D248-9F92-7E51EACB1A6C}"/>
            </a:ext>
          </a:extLst>
        </xdr:cNvPr>
        <xdr:cNvCxnSpPr/>
      </xdr:nvCxnSpPr>
      <xdr:spPr>
        <a:xfrm>
          <a:off x="13478012160" y="40833040"/>
          <a:ext cx="5120640"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396240</xdr:colOff>
      <xdr:row>274</xdr:row>
      <xdr:rowOff>30480</xdr:rowOff>
    </xdr:from>
    <xdr:to>
      <xdr:col>4</xdr:col>
      <xdr:colOff>396240</xdr:colOff>
      <xdr:row>276</xdr:row>
      <xdr:rowOff>172720</xdr:rowOff>
    </xdr:to>
    <xdr:cxnSp macro="">
      <xdr:nvCxnSpPr>
        <xdr:cNvPr id="52" name="Straight Connector 51">
          <a:extLst>
            <a:ext uri="{FF2B5EF4-FFF2-40B4-BE49-F238E27FC236}">
              <a16:creationId xmlns:a16="http://schemas.microsoft.com/office/drawing/2014/main" id="{48F18445-930F-A947-8843-F119FCA052F3}"/>
            </a:ext>
          </a:extLst>
        </xdr:cNvPr>
        <xdr:cNvCxnSpPr/>
      </xdr:nvCxnSpPr>
      <xdr:spPr>
        <a:xfrm>
          <a:off x="13479688560" y="44267120"/>
          <a:ext cx="0" cy="54864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325120</xdr:colOff>
      <xdr:row>274</xdr:row>
      <xdr:rowOff>81280</xdr:rowOff>
    </xdr:from>
    <xdr:to>
      <xdr:col>5</xdr:col>
      <xdr:colOff>325120</xdr:colOff>
      <xdr:row>276</xdr:row>
      <xdr:rowOff>182880</xdr:rowOff>
    </xdr:to>
    <xdr:cxnSp macro="">
      <xdr:nvCxnSpPr>
        <xdr:cNvPr id="53" name="Straight Connector 52">
          <a:extLst>
            <a:ext uri="{FF2B5EF4-FFF2-40B4-BE49-F238E27FC236}">
              <a16:creationId xmlns:a16="http://schemas.microsoft.com/office/drawing/2014/main" id="{99D7E66B-0317-1441-AFE4-92F44A151AAB}"/>
            </a:ext>
          </a:extLst>
        </xdr:cNvPr>
        <xdr:cNvCxnSpPr/>
      </xdr:nvCxnSpPr>
      <xdr:spPr>
        <a:xfrm flipV="1">
          <a:off x="13478936720" y="44317920"/>
          <a:ext cx="0" cy="508000"/>
        </a:xfrm>
        <a:prstGeom prst="line">
          <a:avLst/>
        </a:prstGeom>
        <a:ln w="12700">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406400</xdr:colOff>
      <xdr:row>276</xdr:row>
      <xdr:rowOff>162560</xdr:rowOff>
    </xdr:from>
    <xdr:to>
      <xdr:col>5</xdr:col>
      <xdr:colOff>314960</xdr:colOff>
      <xdr:row>276</xdr:row>
      <xdr:rowOff>172720</xdr:rowOff>
    </xdr:to>
    <xdr:cxnSp macro="">
      <xdr:nvCxnSpPr>
        <xdr:cNvPr id="54" name="Straight Connector 53">
          <a:extLst>
            <a:ext uri="{FF2B5EF4-FFF2-40B4-BE49-F238E27FC236}">
              <a16:creationId xmlns:a16="http://schemas.microsoft.com/office/drawing/2014/main" id="{60CE8843-C9B1-9648-B7E9-89E0A07595FB}"/>
            </a:ext>
          </a:extLst>
        </xdr:cNvPr>
        <xdr:cNvCxnSpPr/>
      </xdr:nvCxnSpPr>
      <xdr:spPr>
        <a:xfrm flipH="1">
          <a:off x="13478946880" y="44805600"/>
          <a:ext cx="731520" cy="10160"/>
        </a:xfrm>
        <a:prstGeom prst="line">
          <a:avLst/>
        </a:prstGeom>
        <a:ln w="127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568960</xdr:colOff>
      <xdr:row>63</xdr:row>
      <xdr:rowOff>121920</xdr:rowOff>
    </xdr:from>
    <xdr:ext cx="153046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DE1203E8-2A81-E158-E0A3-C619483DEC44}"/>
                </a:ext>
              </a:extLst>
            </xdr:cNvPr>
            <xdr:cNvSpPr txBox="1"/>
          </xdr:nvSpPr>
          <xdr:spPr>
            <a:xfrm>
              <a:off x="13480535532" y="1294384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𝐷𝑌</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m:t>
                    </m:r>
                    <m:r>
                      <a:rPr lang="en-US" sz="1100" b="0" i="1">
                        <a:latin typeface="Cambria Math" panose="02040503050406030204" pitchFamily="18" charset="0"/>
                      </a:rPr>
                      <m:t>𝑔</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DE1203E8-2A81-E158-E0A3-C619483DEC44}"/>
                </a:ext>
              </a:extLst>
            </xdr:cNvPr>
            <xdr:cNvSpPr txBox="1"/>
          </xdr:nvSpPr>
          <xdr:spPr>
            <a:xfrm>
              <a:off x="13480535532" y="1294384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𝑟=𝐷𝑌∗(1+𝑔)+𝑔</a:t>
              </a:r>
              <a:endParaRPr lang="en-US" sz="1100"/>
            </a:p>
          </xdr:txBody>
        </xdr:sp>
      </mc:Fallback>
    </mc:AlternateContent>
    <xdr:clientData/>
  </xdr:oneCellAnchor>
  <xdr:twoCellAnchor>
    <xdr:from>
      <xdr:col>0</xdr:col>
      <xdr:colOff>492248</xdr:colOff>
      <xdr:row>577</xdr:row>
      <xdr:rowOff>127984</xdr:rowOff>
    </xdr:from>
    <xdr:to>
      <xdr:col>6</xdr:col>
      <xdr:colOff>108294</xdr:colOff>
      <xdr:row>577</xdr:row>
      <xdr:rowOff>132907</xdr:rowOff>
    </xdr:to>
    <xdr:cxnSp macro="">
      <xdr:nvCxnSpPr>
        <xdr:cNvPr id="57" name="Straight Arrow Connector 56">
          <a:extLst>
            <a:ext uri="{FF2B5EF4-FFF2-40B4-BE49-F238E27FC236}">
              <a16:creationId xmlns:a16="http://schemas.microsoft.com/office/drawing/2014/main" id="{EF9AEE70-3590-5FF4-B183-C9F12598E2E7}"/>
            </a:ext>
          </a:extLst>
        </xdr:cNvPr>
        <xdr:cNvCxnSpPr/>
      </xdr:nvCxnSpPr>
      <xdr:spPr>
        <a:xfrm flipV="1">
          <a:off x="13544116822" y="84179341"/>
          <a:ext cx="4651744" cy="492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38100</xdr:colOff>
      <xdr:row>602</xdr:row>
      <xdr:rowOff>110067</xdr:rowOff>
    </xdr:from>
    <xdr:to>
      <xdr:col>6</xdr:col>
      <xdr:colOff>313267</xdr:colOff>
      <xdr:row>602</xdr:row>
      <xdr:rowOff>118533</xdr:rowOff>
    </xdr:to>
    <xdr:cxnSp macro="">
      <xdr:nvCxnSpPr>
        <xdr:cNvPr id="59" name="Straight Arrow Connector 58">
          <a:extLst>
            <a:ext uri="{FF2B5EF4-FFF2-40B4-BE49-F238E27FC236}">
              <a16:creationId xmlns:a16="http://schemas.microsoft.com/office/drawing/2014/main" id="{EFE3243C-220C-172D-E5D6-81687971119C}"/>
            </a:ext>
          </a:extLst>
        </xdr:cNvPr>
        <xdr:cNvCxnSpPr/>
      </xdr:nvCxnSpPr>
      <xdr:spPr>
        <a:xfrm>
          <a:off x="13519725733" y="90381667"/>
          <a:ext cx="4478867" cy="846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601134</xdr:colOff>
      <xdr:row>600</xdr:row>
      <xdr:rowOff>97367</xdr:rowOff>
    </xdr:from>
    <xdr:to>
      <xdr:col>5</xdr:col>
      <xdr:colOff>67734</xdr:colOff>
      <xdr:row>602</xdr:row>
      <xdr:rowOff>76200</xdr:rowOff>
    </xdr:to>
    <xdr:sp macro="" textlink="">
      <xdr:nvSpPr>
        <xdr:cNvPr id="62" name="Right Arrow 61">
          <a:extLst>
            <a:ext uri="{FF2B5EF4-FFF2-40B4-BE49-F238E27FC236}">
              <a16:creationId xmlns:a16="http://schemas.microsoft.com/office/drawing/2014/main" id="{9EC5B352-FA0C-6560-4155-23F9AD10094B}"/>
            </a:ext>
          </a:extLst>
        </xdr:cNvPr>
        <xdr:cNvSpPr/>
      </xdr:nvSpPr>
      <xdr:spPr>
        <a:xfrm>
          <a:off x="13520796766" y="89962567"/>
          <a:ext cx="1117600" cy="38523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 = 2%</a:t>
          </a:r>
        </a:p>
      </xdr:txBody>
    </xdr:sp>
    <xdr:clientData/>
  </xdr:twoCellAnchor>
  <xdr:twoCellAnchor>
    <xdr:from>
      <xdr:col>1</xdr:col>
      <xdr:colOff>787400</xdr:colOff>
      <xdr:row>600</xdr:row>
      <xdr:rowOff>127000</xdr:rowOff>
    </xdr:from>
    <xdr:to>
      <xdr:col>3</xdr:col>
      <xdr:colOff>177800</xdr:colOff>
      <xdr:row>602</xdr:row>
      <xdr:rowOff>105833</xdr:rowOff>
    </xdr:to>
    <xdr:sp macro="" textlink="">
      <xdr:nvSpPr>
        <xdr:cNvPr id="63" name="Right Arrow 62">
          <a:extLst>
            <a:ext uri="{FF2B5EF4-FFF2-40B4-BE49-F238E27FC236}">
              <a16:creationId xmlns:a16="http://schemas.microsoft.com/office/drawing/2014/main" id="{02D4BFCE-5F04-916F-9C01-C6A1E12793C1}"/>
            </a:ext>
          </a:extLst>
        </xdr:cNvPr>
        <xdr:cNvSpPr/>
      </xdr:nvSpPr>
      <xdr:spPr>
        <a:xfrm>
          <a:off x="13522337700" y="89992200"/>
          <a:ext cx="1117600" cy="38523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 = 2%</a:t>
          </a:r>
        </a:p>
      </xdr:txBody>
    </xdr:sp>
    <xdr:clientData/>
  </xdr:twoCellAnchor>
  <xdr:twoCellAnchor>
    <xdr:from>
      <xdr:col>0</xdr:col>
      <xdr:colOff>699676</xdr:colOff>
      <xdr:row>636</xdr:row>
      <xdr:rowOff>105833</xdr:rowOff>
    </xdr:from>
    <xdr:to>
      <xdr:col>6</xdr:col>
      <xdr:colOff>535046</xdr:colOff>
      <xdr:row>636</xdr:row>
      <xdr:rowOff>141111</xdr:rowOff>
    </xdr:to>
    <xdr:cxnSp macro="">
      <xdr:nvCxnSpPr>
        <xdr:cNvPr id="65" name="Straight Arrow Connector 64">
          <a:extLst>
            <a:ext uri="{FF2B5EF4-FFF2-40B4-BE49-F238E27FC236}">
              <a16:creationId xmlns:a16="http://schemas.microsoft.com/office/drawing/2014/main" id="{0F77CE75-89B1-8631-F0D0-113DFABB0CE7}"/>
            </a:ext>
          </a:extLst>
        </xdr:cNvPr>
        <xdr:cNvCxnSpPr/>
      </xdr:nvCxnSpPr>
      <xdr:spPr>
        <a:xfrm>
          <a:off x="13480985324" y="98913009"/>
          <a:ext cx="4850694" cy="3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535046</xdr:colOff>
      <xdr:row>679</xdr:row>
      <xdr:rowOff>52916</xdr:rowOff>
    </xdr:from>
    <xdr:to>
      <xdr:col>7</xdr:col>
      <xdr:colOff>746713</xdr:colOff>
      <xdr:row>679</xdr:row>
      <xdr:rowOff>58796</xdr:rowOff>
    </xdr:to>
    <xdr:cxnSp macro="">
      <xdr:nvCxnSpPr>
        <xdr:cNvPr id="68" name="Straight Arrow Connector 67">
          <a:extLst>
            <a:ext uri="{FF2B5EF4-FFF2-40B4-BE49-F238E27FC236}">
              <a16:creationId xmlns:a16="http://schemas.microsoft.com/office/drawing/2014/main" id="{9E1ADB67-51A2-43EA-8DCB-867B10AE3D75}"/>
            </a:ext>
          </a:extLst>
        </xdr:cNvPr>
        <xdr:cNvCxnSpPr/>
      </xdr:nvCxnSpPr>
      <xdr:spPr>
        <a:xfrm flipV="1">
          <a:off x="13479950509" y="107708935"/>
          <a:ext cx="6050139" cy="58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646759</xdr:colOff>
      <xdr:row>680</xdr:row>
      <xdr:rowOff>88194</xdr:rowOff>
    </xdr:from>
    <xdr:to>
      <xdr:col>2</xdr:col>
      <xdr:colOff>35278</xdr:colOff>
      <xdr:row>680</xdr:row>
      <xdr:rowOff>99953</xdr:rowOff>
    </xdr:to>
    <xdr:cxnSp macro="">
      <xdr:nvCxnSpPr>
        <xdr:cNvPr id="71" name="Straight Arrow Connector 70">
          <a:extLst>
            <a:ext uri="{FF2B5EF4-FFF2-40B4-BE49-F238E27FC236}">
              <a16:creationId xmlns:a16="http://schemas.microsoft.com/office/drawing/2014/main" id="{9F5DA7A3-32DF-C1FB-ECE3-E45451BE7BC3}"/>
            </a:ext>
          </a:extLst>
        </xdr:cNvPr>
        <xdr:cNvCxnSpPr/>
      </xdr:nvCxnSpPr>
      <xdr:spPr>
        <a:xfrm flipV="1">
          <a:off x="13484777685" y="107950000"/>
          <a:ext cx="1111250" cy="11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729071</xdr:colOff>
      <xdr:row>688</xdr:row>
      <xdr:rowOff>149930</xdr:rowOff>
    </xdr:from>
    <xdr:to>
      <xdr:col>3</xdr:col>
      <xdr:colOff>808447</xdr:colOff>
      <xdr:row>689</xdr:row>
      <xdr:rowOff>111713</xdr:rowOff>
    </xdr:to>
    <xdr:sp macro="" textlink="">
      <xdr:nvSpPr>
        <xdr:cNvPr id="73" name="Left Brace 72">
          <a:extLst>
            <a:ext uri="{FF2B5EF4-FFF2-40B4-BE49-F238E27FC236}">
              <a16:creationId xmlns:a16="http://schemas.microsoft.com/office/drawing/2014/main" id="{DEAAF847-FD42-E424-A33A-DF094BB02326}"/>
            </a:ext>
          </a:extLst>
        </xdr:cNvPr>
        <xdr:cNvSpPr/>
      </xdr:nvSpPr>
      <xdr:spPr>
        <a:xfrm rot="16200000">
          <a:off x="13483548845" y="109290554"/>
          <a:ext cx="167570" cy="902525"/>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670274</xdr:colOff>
      <xdr:row>688</xdr:row>
      <xdr:rowOff>149929</xdr:rowOff>
    </xdr:from>
    <xdr:to>
      <xdr:col>2</xdr:col>
      <xdr:colOff>649696</xdr:colOff>
      <xdr:row>689</xdr:row>
      <xdr:rowOff>117591</xdr:rowOff>
    </xdr:to>
    <xdr:sp macro="" textlink="">
      <xdr:nvSpPr>
        <xdr:cNvPr id="74" name="Left Brace 73">
          <a:extLst>
            <a:ext uri="{FF2B5EF4-FFF2-40B4-BE49-F238E27FC236}">
              <a16:creationId xmlns:a16="http://schemas.microsoft.com/office/drawing/2014/main" id="{C6909B18-839E-63FD-1443-28140B4FF512}"/>
            </a:ext>
          </a:extLst>
        </xdr:cNvPr>
        <xdr:cNvSpPr/>
      </xdr:nvSpPr>
      <xdr:spPr>
        <a:xfrm rot="16200000">
          <a:off x="13484516045" y="109305253"/>
          <a:ext cx="173449" cy="879005"/>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622451</xdr:colOff>
      <xdr:row>112</xdr:row>
      <xdr:rowOff>200788</xdr:rowOff>
    </xdr:from>
    <xdr:to>
      <xdr:col>6</xdr:col>
      <xdr:colOff>160633</xdr:colOff>
      <xdr:row>113</xdr:row>
      <xdr:rowOff>10038</xdr:rowOff>
    </xdr:to>
    <xdr:cxnSp macro="">
      <xdr:nvCxnSpPr>
        <xdr:cNvPr id="43" name="Straight Arrow Connector 42">
          <a:extLst>
            <a:ext uri="{FF2B5EF4-FFF2-40B4-BE49-F238E27FC236}">
              <a16:creationId xmlns:a16="http://schemas.microsoft.com/office/drawing/2014/main" id="{9CF8ADC9-6C48-D8D4-3689-AB735B48FA69}"/>
            </a:ext>
          </a:extLst>
        </xdr:cNvPr>
        <xdr:cNvCxnSpPr/>
      </xdr:nvCxnSpPr>
      <xdr:spPr>
        <a:xfrm flipV="1">
          <a:off x="13482882213" y="18934543"/>
          <a:ext cx="4557945" cy="1004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381502</xdr:colOff>
      <xdr:row>114</xdr:row>
      <xdr:rowOff>55217</xdr:rowOff>
    </xdr:from>
    <xdr:to>
      <xdr:col>3</xdr:col>
      <xdr:colOff>386522</xdr:colOff>
      <xdr:row>116</xdr:row>
      <xdr:rowOff>85336</xdr:rowOff>
    </xdr:to>
    <xdr:cxnSp macro="">
      <xdr:nvCxnSpPr>
        <xdr:cNvPr id="49" name="Straight Connector 48">
          <a:extLst>
            <a:ext uri="{FF2B5EF4-FFF2-40B4-BE49-F238E27FC236}">
              <a16:creationId xmlns:a16="http://schemas.microsoft.com/office/drawing/2014/main" id="{1729D015-5AAF-658D-D0E1-D61E9A7745BB}"/>
            </a:ext>
          </a:extLst>
        </xdr:cNvPr>
        <xdr:cNvCxnSpPr/>
      </xdr:nvCxnSpPr>
      <xdr:spPr>
        <a:xfrm>
          <a:off x="13485126047" y="19190553"/>
          <a:ext cx="5020" cy="4317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371461</xdr:colOff>
      <xdr:row>116</xdr:row>
      <xdr:rowOff>95375</xdr:rowOff>
    </xdr:from>
    <xdr:to>
      <xdr:col>4</xdr:col>
      <xdr:colOff>371462</xdr:colOff>
      <xdr:row>116</xdr:row>
      <xdr:rowOff>95375</xdr:rowOff>
    </xdr:to>
    <xdr:cxnSp macro="">
      <xdr:nvCxnSpPr>
        <xdr:cNvPr id="50" name="Straight Connector 49">
          <a:extLst>
            <a:ext uri="{FF2B5EF4-FFF2-40B4-BE49-F238E27FC236}">
              <a16:creationId xmlns:a16="http://schemas.microsoft.com/office/drawing/2014/main" id="{16D84469-52C7-2CE0-FBC9-AB7942F806CB}"/>
            </a:ext>
          </a:extLst>
        </xdr:cNvPr>
        <xdr:cNvCxnSpPr/>
      </xdr:nvCxnSpPr>
      <xdr:spPr>
        <a:xfrm flipH="1">
          <a:off x="13484317866" y="19632292"/>
          <a:ext cx="823242"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351384</xdr:colOff>
      <xdr:row>114</xdr:row>
      <xdr:rowOff>75296</xdr:rowOff>
    </xdr:from>
    <xdr:to>
      <xdr:col>4</xdr:col>
      <xdr:colOff>356404</xdr:colOff>
      <xdr:row>116</xdr:row>
      <xdr:rowOff>105415</xdr:rowOff>
    </xdr:to>
    <xdr:cxnSp macro="">
      <xdr:nvCxnSpPr>
        <xdr:cNvPr id="60" name="Straight Connector 59">
          <a:extLst>
            <a:ext uri="{FF2B5EF4-FFF2-40B4-BE49-F238E27FC236}">
              <a16:creationId xmlns:a16="http://schemas.microsoft.com/office/drawing/2014/main" id="{0E308D57-B73A-6188-AFAE-8454017DE034}"/>
            </a:ext>
          </a:extLst>
        </xdr:cNvPr>
        <xdr:cNvCxnSpPr/>
      </xdr:nvCxnSpPr>
      <xdr:spPr>
        <a:xfrm>
          <a:off x="13484332924" y="19210632"/>
          <a:ext cx="5020" cy="43170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180711</xdr:colOff>
      <xdr:row>113</xdr:row>
      <xdr:rowOff>55218</xdr:rowOff>
    </xdr:from>
    <xdr:to>
      <xdr:col>4</xdr:col>
      <xdr:colOff>592332</xdr:colOff>
      <xdr:row>113</xdr:row>
      <xdr:rowOff>185732</xdr:rowOff>
    </xdr:to>
    <xdr:cxnSp macro="">
      <xdr:nvCxnSpPr>
        <xdr:cNvPr id="66" name="Straight Connector 65">
          <a:extLst>
            <a:ext uri="{FF2B5EF4-FFF2-40B4-BE49-F238E27FC236}">
              <a16:creationId xmlns:a16="http://schemas.microsoft.com/office/drawing/2014/main" id="{AB92AF05-BAEE-896C-0729-9B1D9465616A}"/>
            </a:ext>
          </a:extLst>
        </xdr:cNvPr>
        <xdr:cNvCxnSpPr/>
      </xdr:nvCxnSpPr>
      <xdr:spPr>
        <a:xfrm>
          <a:off x="13494765263" y="20600281"/>
          <a:ext cx="411621" cy="13051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399815</xdr:colOff>
      <xdr:row>167</xdr:row>
      <xdr:rowOff>0</xdr:rowOff>
    </xdr:from>
    <xdr:to>
      <xdr:col>4</xdr:col>
      <xdr:colOff>409894</xdr:colOff>
      <xdr:row>169</xdr:row>
      <xdr:rowOff>36958</xdr:rowOff>
    </xdr:to>
    <xdr:cxnSp macro="">
      <xdr:nvCxnSpPr>
        <xdr:cNvPr id="69" name="Straight Arrow Connector 68">
          <a:extLst>
            <a:ext uri="{FF2B5EF4-FFF2-40B4-BE49-F238E27FC236}">
              <a16:creationId xmlns:a16="http://schemas.microsoft.com/office/drawing/2014/main" id="{F66F3C70-2AB0-D55F-9D89-A4D5B5970833}"/>
            </a:ext>
          </a:extLst>
        </xdr:cNvPr>
        <xdr:cNvCxnSpPr/>
      </xdr:nvCxnSpPr>
      <xdr:spPr>
        <a:xfrm>
          <a:off x="13537790106" y="31151958"/>
          <a:ext cx="10079" cy="4401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178069</xdr:colOff>
      <xdr:row>167</xdr:row>
      <xdr:rowOff>0</xdr:rowOff>
    </xdr:from>
    <xdr:to>
      <xdr:col>4</xdr:col>
      <xdr:colOff>188148</xdr:colOff>
      <xdr:row>169</xdr:row>
      <xdr:rowOff>36958</xdr:rowOff>
    </xdr:to>
    <xdr:cxnSp macro="">
      <xdr:nvCxnSpPr>
        <xdr:cNvPr id="70" name="Straight Arrow Connector 69">
          <a:extLst>
            <a:ext uri="{FF2B5EF4-FFF2-40B4-BE49-F238E27FC236}">
              <a16:creationId xmlns:a16="http://schemas.microsoft.com/office/drawing/2014/main" id="{025E9FE2-FA92-9508-2FD0-79D9DECAC52C}"/>
            </a:ext>
          </a:extLst>
        </xdr:cNvPr>
        <xdr:cNvCxnSpPr/>
      </xdr:nvCxnSpPr>
      <xdr:spPr>
        <a:xfrm>
          <a:off x="13538011852" y="31151958"/>
          <a:ext cx="10079" cy="4401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870186</xdr:colOff>
      <xdr:row>182</xdr:row>
      <xdr:rowOff>191508</xdr:rowOff>
    </xdr:from>
    <xdr:to>
      <xdr:col>6</xdr:col>
      <xdr:colOff>198228</xdr:colOff>
      <xdr:row>182</xdr:row>
      <xdr:rowOff>198228</xdr:rowOff>
    </xdr:to>
    <xdr:cxnSp macro="">
      <xdr:nvCxnSpPr>
        <xdr:cNvPr id="75" name="Straight Arrow Connector 74">
          <a:extLst>
            <a:ext uri="{FF2B5EF4-FFF2-40B4-BE49-F238E27FC236}">
              <a16:creationId xmlns:a16="http://schemas.microsoft.com/office/drawing/2014/main" id="{E6BDEC97-6941-649B-F41F-3EC21565A0F8}"/>
            </a:ext>
          </a:extLst>
        </xdr:cNvPr>
        <xdr:cNvCxnSpPr/>
      </xdr:nvCxnSpPr>
      <xdr:spPr>
        <a:xfrm flipV="1">
          <a:off x="13517221117" y="37530148"/>
          <a:ext cx="4446430" cy="6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880704</xdr:colOff>
      <xdr:row>231</xdr:row>
      <xdr:rowOff>6382</xdr:rowOff>
    </xdr:from>
    <xdr:to>
      <xdr:col>6</xdr:col>
      <xdr:colOff>813694</xdr:colOff>
      <xdr:row>231</xdr:row>
      <xdr:rowOff>9573</xdr:rowOff>
    </xdr:to>
    <xdr:cxnSp macro="">
      <xdr:nvCxnSpPr>
        <xdr:cNvPr id="77" name="Straight Arrow Connector 76">
          <a:extLst>
            <a:ext uri="{FF2B5EF4-FFF2-40B4-BE49-F238E27FC236}">
              <a16:creationId xmlns:a16="http://schemas.microsoft.com/office/drawing/2014/main" id="{3DB4105B-DC25-83B3-E8DC-9196988EA9FD}"/>
            </a:ext>
          </a:extLst>
        </xdr:cNvPr>
        <xdr:cNvCxnSpPr/>
      </xdr:nvCxnSpPr>
      <xdr:spPr>
        <a:xfrm flipV="1">
          <a:off x="13534903744" y="43633116"/>
          <a:ext cx="5057663" cy="31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411634</xdr:colOff>
      <xdr:row>232</xdr:row>
      <xdr:rowOff>12764</xdr:rowOff>
    </xdr:from>
    <xdr:to>
      <xdr:col>5</xdr:col>
      <xdr:colOff>414825</xdr:colOff>
      <xdr:row>233</xdr:row>
      <xdr:rowOff>165930</xdr:rowOff>
    </xdr:to>
    <xdr:cxnSp macro="">
      <xdr:nvCxnSpPr>
        <xdr:cNvPr id="80" name="Straight Connector 79">
          <a:extLst>
            <a:ext uri="{FF2B5EF4-FFF2-40B4-BE49-F238E27FC236}">
              <a16:creationId xmlns:a16="http://schemas.microsoft.com/office/drawing/2014/main" id="{075B8889-1DFD-C467-BC7B-A19E723FF623}"/>
            </a:ext>
          </a:extLst>
        </xdr:cNvPr>
        <xdr:cNvCxnSpPr/>
      </xdr:nvCxnSpPr>
      <xdr:spPr>
        <a:xfrm>
          <a:off x="13536129070" y="43843719"/>
          <a:ext cx="3191" cy="35738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405252</xdr:colOff>
      <xdr:row>233</xdr:row>
      <xdr:rowOff>172311</xdr:rowOff>
    </xdr:from>
    <xdr:to>
      <xdr:col>6</xdr:col>
      <xdr:colOff>395679</xdr:colOff>
      <xdr:row>233</xdr:row>
      <xdr:rowOff>172311</xdr:rowOff>
    </xdr:to>
    <xdr:cxnSp macro="">
      <xdr:nvCxnSpPr>
        <xdr:cNvPr id="81" name="Straight Connector 80">
          <a:extLst>
            <a:ext uri="{FF2B5EF4-FFF2-40B4-BE49-F238E27FC236}">
              <a16:creationId xmlns:a16="http://schemas.microsoft.com/office/drawing/2014/main" id="{A9C26BBF-3BD7-E3AE-C2CE-86CF49FBA437}"/>
            </a:ext>
          </a:extLst>
        </xdr:cNvPr>
        <xdr:cNvCxnSpPr/>
      </xdr:nvCxnSpPr>
      <xdr:spPr>
        <a:xfrm flipH="1">
          <a:off x="13535321759" y="44207487"/>
          <a:ext cx="816884"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382916</xdr:colOff>
      <xdr:row>231</xdr:row>
      <xdr:rowOff>47864</xdr:rowOff>
    </xdr:from>
    <xdr:to>
      <xdr:col>6</xdr:col>
      <xdr:colOff>386107</xdr:colOff>
      <xdr:row>233</xdr:row>
      <xdr:rowOff>172312</xdr:rowOff>
    </xdr:to>
    <xdr:cxnSp macro="">
      <xdr:nvCxnSpPr>
        <xdr:cNvPr id="84" name="Straight Connector 83">
          <a:extLst>
            <a:ext uri="{FF2B5EF4-FFF2-40B4-BE49-F238E27FC236}">
              <a16:creationId xmlns:a16="http://schemas.microsoft.com/office/drawing/2014/main" id="{C1317F7F-6AB9-C5ED-4FFE-C3454D403881}"/>
            </a:ext>
          </a:extLst>
        </xdr:cNvPr>
        <xdr:cNvCxnSpPr/>
      </xdr:nvCxnSpPr>
      <xdr:spPr>
        <a:xfrm>
          <a:off x="13535331331" y="43674598"/>
          <a:ext cx="3191" cy="53289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433970</xdr:colOff>
      <xdr:row>227</xdr:row>
      <xdr:rowOff>130829</xdr:rowOff>
    </xdr:from>
    <xdr:to>
      <xdr:col>6</xdr:col>
      <xdr:colOff>424397</xdr:colOff>
      <xdr:row>230</xdr:row>
      <xdr:rowOff>51056</xdr:rowOff>
    </xdr:to>
    <xdr:grpSp>
      <xdr:nvGrpSpPr>
        <xdr:cNvPr id="92" name="Group 91">
          <a:extLst>
            <a:ext uri="{FF2B5EF4-FFF2-40B4-BE49-F238E27FC236}">
              <a16:creationId xmlns:a16="http://schemas.microsoft.com/office/drawing/2014/main" id="{D6306425-E165-41EE-7A0A-C053D31695FA}"/>
            </a:ext>
          </a:extLst>
        </xdr:cNvPr>
        <xdr:cNvGrpSpPr/>
      </xdr:nvGrpSpPr>
      <xdr:grpSpPr>
        <a:xfrm rot="10800000">
          <a:off x="13523046956" y="45968189"/>
          <a:ext cx="816137" cy="523791"/>
          <a:chOff x="13534504875" y="43674598"/>
          <a:chExt cx="816884" cy="532890"/>
        </a:xfrm>
      </xdr:grpSpPr>
      <xdr:cxnSp macro="">
        <xdr:nvCxnSpPr>
          <xdr:cNvPr id="89" name="Straight Connector 88">
            <a:extLst>
              <a:ext uri="{FF2B5EF4-FFF2-40B4-BE49-F238E27FC236}">
                <a16:creationId xmlns:a16="http://schemas.microsoft.com/office/drawing/2014/main" id="{8257BC8D-9118-6043-A4F1-2D9085ADA117}"/>
              </a:ext>
            </a:extLst>
          </xdr:cNvPr>
          <xdr:cNvCxnSpPr/>
        </xdr:nvCxnSpPr>
        <xdr:spPr>
          <a:xfrm>
            <a:off x="13535312186" y="43843719"/>
            <a:ext cx="3191" cy="35738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90" name="Straight Connector 89">
            <a:extLst>
              <a:ext uri="{FF2B5EF4-FFF2-40B4-BE49-F238E27FC236}">
                <a16:creationId xmlns:a16="http://schemas.microsoft.com/office/drawing/2014/main" id="{005981E6-A41E-9E45-889C-151C15EF3DB7}"/>
              </a:ext>
            </a:extLst>
          </xdr:cNvPr>
          <xdr:cNvCxnSpPr/>
        </xdr:nvCxnSpPr>
        <xdr:spPr>
          <a:xfrm flipH="1">
            <a:off x="13534504875" y="44207487"/>
            <a:ext cx="816884" cy="0"/>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91" name="Straight Connector 90">
            <a:extLst>
              <a:ext uri="{FF2B5EF4-FFF2-40B4-BE49-F238E27FC236}">
                <a16:creationId xmlns:a16="http://schemas.microsoft.com/office/drawing/2014/main" id="{6CEE56E0-9E4D-D34A-A939-6C69B99D2FCF}"/>
              </a:ext>
            </a:extLst>
          </xdr:cNvPr>
          <xdr:cNvCxnSpPr/>
        </xdr:nvCxnSpPr>
        <xdr:spPr>
          <a:xfrm>
            <a:off x="13534514447" y="43674598"/>
            <a:ext cx="3191" cy="53289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grpSp>
    <xdr:clientData/>
  </xdr:twoCellAnchor>
  <xdr:oneCellAnchor>
    <xdr:from>
      <xdr:col>4</xdr:col>
      <xdr:colOff>6349</xdr:colOff>
      <xdr:row>237</xdr:row>
      <xdr:rowOff>124617</xdr:rowOff>
    </xdr:from>
    <xdr:ext cx="2995730" cy="348044"/>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89AB8D52-745E-20FA-753A-24287EBBC349}"/>
                </a:ext>
              </a:extLst>
            </xdr:cNvPr>
            <xdr:cNvSpPr txBox="1"/>
          </xdr:nvSpPr>
          <xdr:spPr>
            <a:xfrm>
              <a:off x="13518687921" y="48410017"/>
              <a:ext cx="2995730"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(10%−0%)</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1</m:t>
                        </m:r>
                      </m:sup>
                    </m:sSup>
                    <m:r>
                      <a:rPr lang="en-US" sz="1100" b="0" i="1">
                        <a:latin typeface="Cambria Math" panose="02040503050406030204" pitchFamily="18" charset="0"/>
                      </a:rPr>
                      <m:t>=22</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89AB8D52-745E-20FA-753A-24287EBBC349}"/>
                </a:ext>
              </a:extLst>
            </xdr:cNvPr>
            <xdr:cNvSpPr txBox="1"/>
          </xdr:nvSpPr>
          <xdr:spPr>
            <a:xfrm>
              <a:off x="13518687921" y="48410017"/>
              <a:ext cx="2995730"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𝑃_𝑆=2/((10%−0%))∗(1+10%)^1=22</a:t>
              </a:r>
              <a:endParaRPr lang="en-US" sz="1100"/>
            </a:p>
          </xdr:txBody>
        </xdr:sp>
      </mc:Fallback>
    </mc:AlternateContent>
    <xdr:clientData/>
  </xdr:oneCellAnchor>
  <xdr:twoCellAnchor>
    <xdr:from>
      <xdr:col>0</xdr:col>
      <xdr:colOff>900940</xdr:colOff>
      <xdr:row>361</xdr:row>
      <xdr:rowOff>3618</xdr:rowOff>
    </xdr:from>
    <xdr:to>
      <xdr:col>7</xdr:col>
      <xdr:colOff>199003</xdr:colOff>
      <xdr:row>361</xdr:row>
      <xdr:rowOff>7237</xdr:rowOff>
    </xdr:to>
    <xdr:cxnSp macro="">
      <xdr:nvCxnSpPr>
        <xdr:cNvPr id="95" name="Straight Arrow Connector 94">
          <a:extLst>
            <a:ext uri="{FF2B5EF4-FFF2-40B4-BE49-F238E27FC236}">
              <a16:creationId xmlns:a16="http://schemas.microsoft.com/office/drawing/2014/main" id="{88378043-2FDC-CE2C-0D35-D98C84597EF0}"/>
            </a:ext>
          </a:extLst>
        </xdr:cNvPr>
        <xdr:cNvCxnSpPr/>
      </xdr:nvCxnSpPr>
      <xdr:spPr>
        <a:xfrm>
          <a:off x="13510126125" y="69994729"/>
          <a:ext cx="5239203" cy="361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419715</xdr:colOff>
      <xdr:row>359</xdr:row>
      <xdr:rowOff>61205</xdr:rowOff>
    </xdr:from>
    <xdr:to>
      <xdr:col>5</xdr:col>
      <xdr:colOff>419715</xdr:colOff>
      <xdr:row>360</xdr:row>
      <xdr:rowOff>21709</xdr:rowOff>
    </xdr:to>
    <xdr:sp macro="" textlink="">
      <xdr:nvSpPr>
        <xdr:cNvPr id="98" name="Freeform 97">
          <a:extLst>
            <a:ext uri="{FF2B5EF4-FFF2-40B4-BE49-F238E27FC236}">
              <a16:creationId xmlns:a16="http://schemas.microsoft.com/office/drawing/2014/main" id="{64366E2A-BE7A-22F4-C392-CA8278EE36DD}"/>
            </a:ext>
          </a:extLst>
        </xdr:cNvPr>
        <xdr:cNvSpPr/>
      </xdr:nvSpPr>
      <xdr:spPr>
        <a:xfrm>
          <a:off x="13511555328" y="69647074"/>
          <a:ext cx="824957" cy="163125"/>
        </a:xfrm>
        <a:custGeom>
          <a:avLst/>
          <a:gdLst>
            <a:gd name="connsiteX0" fmla="*/ 0 w 824957"/>
            <a:gd name="connsiteY0" fmla="*/ 130561 h 163125"/>
            <a:gd name="connsiteX1" fmla="*/ 372678 w 824957"/>
            <a:gd name="connsiteY1" fmla="*/ 305 h 163125"/>
            <a:gd name="connsiteX2" fmla="*/ 824957 w 824957"/>
            <a:gd name="connsiteY2" fmla="*/ 163125 h 163125"/>
          </a:gdLst>
          <a:ahLst/>
          <a:cxnLst>
            <a:cxn ang="0">
              <a:pos x="connsiteX0" y="connsiteY0"/>
            </a:cxn>
            <a:cxn ang="0">
              <a:pos x="connsiteX1" y="connsiteY1"/>
            </a:cxn>
            <a:cxn ang="0">
              <a:pos x="connsiteX2" y="connsiteY2"/>
            </a:cxn>
          </a:cxnLst>
          <a:rect l="l" t="t" r="r" b="b"/>
          <a:pathLst>
            <a:path w="824957" h="163125">
              <a:moveTo>
                <a:pt x="0" y="130561"/>
              </a:moveTo>
              <a:cubicBezTo>
                <a:pt x="117592" y="62719"/>
                <a:pt x="235185" y="-5122"/>
                <a:pt x="372678" y="305"/>
              </a:cubicBezTo>
              <a:cubicBezTo>
                <a:pt x="510171" y="5732"/>
                <a:pt x="667564" y="84428"/>
                <a:pt x="824957" y="1631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390769</xdr:colOff>
      <xdr:row>359</xdr:row>
      <xdr:rowOff>75678</xdr:rowOff>
    </xdr:from>
    <xdr:to>
      <xdr:col>4</xdr:col>
      <xdr:colOff>390769</xdr:colOff>
      <xdr:row>360</xdr:row>
      <xdr:rowOff>36182</xdr:rowOff>
    </xdr:to>
    <xdr:sp macro="" textlink="">
      <xdr:nvSpPr>
        <xdr:cNvPr id="99" name="Freeform 98">
          <a:extLst>
            <a:ext uri="{FF2B5EF4-FFF2-40B4-BE49-F238E27FC236}">
              <a16:creationId xmlns:a16="http://schemas.microsoft.com/office/drawing/2014/main" id="{83401951-0383-48DA-05DE-A8A1992A8807}"/>
            </a:ext>
          </a:extLst>
        </xdr:cNvPr>
        <xdr:cNvSpPr/>
      </xdr:nvSpPr>
      <xdr:spPr>
        <a:xfrm>
          <a:off x="13512409231" y="69661547"/>
          <a:ext cx="824957" cy="163125"/>
        </a:xfrm>
        <a:custGeom>
          <a:avLst/>
          <a:gdLst>
            <a:gd name="connsiteX0" fmla="*/ 0 w 824957"/>
            <a:gd name="connsiteY0" fmla="*/ 130561 h 163125"/>
            <a:gd name="connsiteX1" fmla="*/ 372678 w 824957"/>
            <a:gd name="connsiteY1" fmla="*/ 305 h 163125"/>
            <a:gd name="connsiteX2" fmla="*/ 824957 w 824957"/>
            <a:gd name="connsiteY2" fmla="*/ 163125 h 163125"/>
          </a:gdLst>
          <a:ahLst/>
          <a:cxnLst>
            <a:cxn ang="0">
              <a:pos x="connsiteX0" y="connsiteY0"/>
            </a:cxn>
            <a:cxn ang="0">
              <a:pos x="connsiteX1" y="connsiteY1"/>
            </a:cxn>
            <a:cxn ang="0">
              <a:pos x="connsiteX2" y="connsiteY2"/>
            </a:cxn>
          </a:cxnLst>
          <a:rect l="l" t="t" r="r" b="b"/>
          <a:pathLst>
            <a:path w="824957" h="163125">
              <a:moveTo>
                <a:pt x="0" y="130561"/>
              </a:moveTo>
              <a:cubicBezTo>
                <a:pt x="117592" y="62719"/>
                <a:pt x="235185" y="-5122"/>
                <a:pt x="372678" y="305"/>
              </a:cubicBezTo>
              <a:cubicBezTo>
                <a:pt x="510171" y="5732"/>
                <a:pt x="667564" y="84428"/>
                <a:pt x="824957" y="1631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97690</xdr:colOff>
      <xdr:row>361</xdr:row>
      <xdr:rowOff>137492</xdr:rowOff>
    </xdr:from>
    <xdr:to>
      <xdr:col>3</xdr:col>
      <xdr:colOff>549968</xdr:colOff>
      <xdr:row>362</xdr:row>
      <xdr:rowOff>170057</xdr:rowOff>
    </xdr:to>
    <xdr:sp macro="" textlink="">
      <xdr:nvSpPr>
        <xdr:cNvPr id="100" name="Left Brace 99">
          <a:extLst>
            <a:ext uri="{FF2B5EF4-FFF2-40B4-BE49-F238E27FC236}">
              <a16:creationId xmlns:a16="http://schemas.microsoft.com/office/drawing/2014/main" id="{69750030-F36D-0C22-5C94-C056988209EC}"/>
            </a:ext>
          </a:extLst>
        </xdr:cNvPr>
        <xdr:cNvSpPr/>
      </xdr:nvSpPr>
      <xdr:spPr>
        <a:xfrm rot="16200000">
          <a:off x="13514046484" y="69157108"/>
          <a:ext cx="235186" cy="2178176"/>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394387</xdr:colOff>
      <xdr:row>362</xdr:row>
      <xdr:rowOff>72365</xdr:rowOff>
    </xdr:from>
    <xdr:to>
      <xdr:col>3</xdr:col>
      <xdr:colOff>401624</xdr:colOff>
      <xdr:row>364</xdr:row>
      <xdr:rowOff>155584</xdr:rowOff>
    </xdr:to>
    <xdr:cxnSp macro="">
      <xdr:nvCxnSpPr>
        <xdr:cNvPr id="102" name="Straight Connector 101">
          <a:extLst>
            <a:ext uri="{FF2B5EF4-FFF2-40B4-BE49-F238E27FC236}">
              <a16:creationId xmlns:a16="http://schemas.microsoft.com/office/drawing/2014/main" id="{D280A03A-D4E7-9E79-A7BB-5ADF64246EF4}"/>
            </a:ext>
          </a:extLst>
        </xdr:cNvPr>
        <xdr:cNvCxnSpPr/>
      </xdr:nvCxnSpPr>
      <xdr:spPr>
        <a:xfrm>
          <a:off x="13513223333" y="70266097"/>
          <a:ext cx="7237" cy="48846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398005</xdr:colOff>
      <xdr:row>364</xdr:row>
      <xdr:rowOff>144730</xdr:rowOff>
    </xdr:from>
    <xdr:to>
      <xdr:col>4</xdr:col>
      <xdr:colOff>372678</xdr:colOff>
      <xdr:row>364</xdr:row>
      <xdr:rowOff>148348</xdr:rowOff>
    </xdr:to>
    <xdr:cxnSp macro="">
      <xdr:nvCxnSpPr>
        <xdr:cNvPr id="105" name="Straight Connector 104">
          <a:extLst>
            <a:ext uri="{FF2B5EF4-FFF2-40B4-BE49-F238E27FC236}">
              <a16:creationId xmlns:a16="http://schemas.microsoft.com/office/drawing/2014/main" id="{B550A1E4-25D0-58BC-E8F6-ED8D05C7902F}"/>
            </a:ext>
          </a:extLst>
        </xdr:cNvPr>
        <xdr:cNvCxnSpPr/>
      </xdr:nvCxnSpPr>
      <xdr:spPr>
        <a:xfrm flipH="1">
          <a:off x="13512427322" y="70743704"/>
          <a:ext cx="799630" cy="361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369059</xdr:colOff>
      <xdr:row>363</xdr:row>
      <xdr:rowOff>32564</xdr:rowOff>
    </xdr:from>
    <xdr:to>
      <xdr:col>4</xdr:col>
      <xdr:colOff>376296</xdr:colOff>
      <xdr:row>364</xdr:row>
      <xdr:rowOff>151966</xdr:rowOff>
    </xdr:to>
    <xdr:cxnSp macro="">
      <xdr:nvCxnSpPr>
        <xdr:cNvPr id="107" name="Straight Connector 106">
          <a:extLst>
            <a:ext uri="{FF2B5EF4-FFF2-40B4-BE49-F238E27FC236}">
              <a16:creationId xmlns:a16="http://schemas.microsoft.com/office/drawing/2014/main" id="{A99B5107-97B1-F27A-0C5C-F709C92B9660}"/>
            </a:ext>
          </a:extLst>
        </xdr:cNvPr>
        <xdr:cNvCxnSpPr/>
      </xdr:nvCxnSpPr>
      <xdr:spPr>
        <a:xfrm>
          <a:off x="13512423704" y="70428917"/>
          <a:ext cx="7237" cy="322023"/>
        </a:xfrm>
        <a:prstGeom prst="line">
          <a:avLst/>
        </a:prstGeom>
        <a:ln>
          <a:headEnd type="arrow" w="med" len="med"/>
          <a:tailEnd type="none" w="med" len="med"/>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6</xdr:col>
      <xdr:colOff>195384</xdr:colOff>
      <xdr:row>365</xdr:row>
      <xdr:rowOff>104161</xdr:rowOff>
    </xdr:from>
    <xdr:ext cx="1020342" cy="1578937"/>
    <xdr:pic>
      <xdr:nvPicPr>
        <xdr:cNvPr id="109" name="Picture 108" descr="Happy cute smiling funny egg. flat cartoon character ...">
          <a:extLst>
            <a:ext uri="{FF2B5EF4-FFF2-40B4-BE49-F238E27FC236}">
              <a16:creationId xmlns:a16="http://schemas.microsoft.com/office/drawing/2014/main" id="{49DE8DAE-9FF1-A146-88CE-E5C13151C8E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09934360" y="74350315"/>
          <a:ext cx="1020342" cy="157893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246040</xdr:colOff>
      <xdr:row>366</xdr:row>
      <xdr:rowOff>86837</xdr:rowOff>
    </xdr:from>
    <xdr:to>
      <xdr:col>5</xdr:col>
      <xdr:colOff>759829</xdr:colOff>
      <xdr:row>374</xdr:row>
      <xdr:rowOff>18091</xdr:rowOff>
    </xdr:to>
    <xdr:sp macro="" textlink="">
      <xdr:nvSpPr>
        <xdr:cNvPr id="110" name="Rounded Rectangular Callout 109">
          <a:extLst>
            <a:ext uri="{FF2B5EF4-FFF2-40B4-BE49-F238E27FC236}">
              <a16:creationId xmlns:a16="http://schemas.microsoft.com/office/drawing/2014/main" id="{4FE57528-304A-31B9-22C7-35E15F87A188}"/>
            </a:ext>
          </a:extLst>
        </xdr:cNvPr>
        <xdr:cNvSpPr/>
      </xdr:nvSpPr>
      <xdr:spPr>
        <a:xfrm>
          <a:off x="13511215214" y="74535612"/>
          <a:ext cx="4805014" cy="1552223"/>
        </a:xfrm>
        <a:prstGeom prst="wedgeRoundRectCallout">
          <a:avLst>
            <a:gd name="adj1" fmla="val -55691"/>
            <a:gd name="adj2" fmla="val 132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אני מזהה בשאלה תזרימים ״משתנים״</a:t>
          </a:r>
          <a:r>
            <a:rPr lang="he-IL" sz="1100" baseline="0"/>
            <a:t> (שלא צומחים בשיעור קבוע) ולאחר מכן הצמיחה הופכת לקבועה, נפעל באופן הבא:</a:t>
          </a:r>
        </a:p>
        <a:p>
          <a:pPr algn="r" rtl="1"/>
          <a:r>
            <a:rPr lang="he-IL" sz="1100" baseline="0"/>
            <a:t>א. נחשב באמצעות נוסחה 1 את הערך הנוכחי של הסדרה הצומחת בשיעור קבוע. כאן, את תזרימי 3 ואילך. </a:t>
          </a:r>
        </a:p>
        <a:p>
          <a:pPr algn="r" rtl="1"/>
          <a:r>
            <a:rPr lang="he-IL" sz="1100" baseline="0"/>
            <a:t>ב. התוצאה של הערך הנוכחי של הסדרה הצומחת בשיעור קבוע - תתווסף לתזרים האחרון שלפניה: כאן, 1000 התווסף לתזרים בזמן 2. </a:t>
          </a:r>
        </a:p>
        <a:p>
          <a:pPr algn="r" rtl="1"/>
          <a:r>
            <a:rPr lang="he-IL" sz="1100" baseline="0"/>
            <a:t>ג. נקבל רשימת תזרימים שהאחרון שבהם מגלם גם את הערך הנוכחי של הסדרה הצומחת בצירוף הדיבידנד לאותו היום, נהוון אותו ב - </a:t>
          </a:r>
          <a:r>
            <a:rPr lang="en-US" sz="1100" baseline="0"/>
            <a:t>NPV</a:t>
          </a:r>
          <a:r>
            <a:rPr lang="he-IL" sz="1100" baseline="0"/>
            <a:t> ונקבל את מחיר המניה.</a:t>
          </a:r>
          <a:endParaRPr lang="en-US" sz="1100"/>
        </a:p>
      </xdr:txBody>
    </xdr:sp>
    <xdr:clientData/>
  </xdr:twoCellAnchor>
  <xdr:twoCellAnchor>
    <xdr:from>
      <xdr:col>3</xdr:col>
      <xdr:colOff>416097</xdr:colOff>
      <xdr:row>365</xdr:row>
      <xdr:rowOff>25328</xdr:rowOff>
    </xdr:from>
    <xdr:to>
      <xdr:col>3</xdr:col>
      <xdr:colOff>607863</xdr:colOff>
      <xdr:row>366</xdr:row>
      <xdr:rowOff>7236</xdr:rowOff>
    </xdr:to>
    <xdr:sp macro="" textlink="">
      <xdr:nvSpPr>
        <xdr:cNvPr id="111" name="Rectangle 110">
          <a:extLst>
            <a:ext uri="{FF2B5EF4-FFF2-40B4-BE49-F238E27FC236}">
              <a16:creationId xmlns:a16="http://schemas.microsoft.com/office/drawing/2014/main" id="{8DB99C25-FFFC-1FDD-6922-04A7E587111C}"/>
            </a:ext>
          </a:extLst>
        </xdr:cNvPr>
        <xdr:cNvSpPr/>
      </xdr:nvSpPr>
      <xdr:spPr>
        <a:xfrm>
          <a:off x="13513017094" y="70826923"/>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4</xdr:col>
      <xdr:colOff>636810</xdr:colOff>
      <xdr:row>362</xdr:row>
      <xdr:rowOff>14473</xdr:rowOff>
    </xdr:from>
    <xdr:to>
      <xdr:col>5</xdr:col>
      <xdr:colOff>3619</xdr:colOff>
      <xdr:row>362</xdr:row>
      <xdr:rowOff>199003</xdr:rowOff>
    </xdr:to>
    <xdr:sp macro="" textlink="">
      <xdr:nvSpPr>
        <xdr:cNvPr id="112" name="Rectangle 111">
          <a:extLst>
            <a:ext uri="{FF2B5EF4-FFF2-40B4-BE49-F238E27FC236}">
              <a16:creationId xmlns:a16="http://schemas.microsoft.com/office/drawing/2014/main" id="{47D80F4B-360E-13F4-6651-BBF1018FD5CE}"/>
            </a:ext>
          </a:extLst>
        </xdr:cNvPr>
        <xdr:cNvSpPr/>
      </xdr:nvSpPr>
      <xdr:spPr>
        <a:xfrm>
          <a:off x="13511971424" y="70208205"/>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9</xdr:col>
      <xdr:colOff>293078</xdr:colOff>
      <xdr:row>359</xdr:row>
      <xdr:rowOff>199003</xdr:rowOff>
    </xdr:from>
    <xdr:to>
      <xdr:col>9</xdr:col>
      <xdr:colOff>484844</xdr:colOff>
      <xdr:row>360</xdr:row>
      <xdr:rowOff>180912</xdr:rowOff>
    </xdr:to>
    <xdr:sp macro="" textlink="">
      <xdr:nvSpPr>
        <xdr:cNvPr id="113" name="Rectangle 112">
          <a:extLst>
            <a:ext uri="{FF2B5EF4-FFF2-40B4-BE49-F238E27FC236}">
              <a16:creationId xmlns:a16="http://schemas.microsoft.com/office/drawing/2014/main" id="{AADF5CC7-DF56-4B58-91FB-EFCC8E8817E0}"/>
            </a:ext>
          </a:extLst>
        </xdr:cNvPr>
        <xdr:cNvSpPr/>
      </xdr:nvSpPr>
      <xdr:spPr>
        <a:xfrm>
          <a:off x="13508190370" y="69784872"/>
          <a:ext cx="191766" cy="18453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twoCellAnchor>
    <xdr:from>
      <xdr:col>0</xdr:col>
      <xdr:colOff>304800</xdr:colOff>
      <xdr:row>443</xdr:row>
      <xdr:rowOff>190499</xdr:rowOff>
    </xdr:from>
    <xdr:to>
      <xdr:col>6</xdr:col>
      <xdr:colOff>249767</xdr:colOff>
      <xdr:row>443</xdr:row>
      <xdr:rowOff>198966</xdr:rowOff>
    </xdr:to>
    <xdr:cxnSp macro="">
      <xdr:nvCxnSpPr>
        <xdr:cNvPr id="115" name="Straight Arrow Connector 114">
          <a:extLst>
            <a:ext uri="{FF2B5EF4-FFF2-40B4-BE49-F238E27FC236}">
              <a16:creationId xmlns:a16="http://schemas.microsoft.com/office/drawing/2014/main" id="{14CD3DBF-4E00-26D8-704B-E9C8A5C08221}"/>
            </a:ext>
          </a:extLst>
        </xdr:cNvPr>
        <xdr:cNvCxnSpPr/>
      </xdr:nvCxnSpPr>
      <xdr:spPr>
        <a:xfrm flipV="1">
          <a:off x="13519789233" y="82130899"/>
          <a:ext cx="5063067" cy="846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804331</xdr:colOff>
      <xdr:row>444</xdr:row>
      <xdr:rowOff>101600</xdr:rowOff>
    </xdr:from>
    <xdr:to>
      <xdr:col>4</xdr:col>
      <xdr:colOff>706966</xdr:colOff>
      <xdr:row>445</xdr:row>
      <xdr:rowOff>203199</xdr:rowOff>
    </xdr:to>
    <xdr:sp macro="" textlink="">
      <xdr:nvSpPr>
        <xdr:cNvPr id="116" name="Left Brace 115">
          <a:extLst>
            <a:ext uri="{FF2B5EF4-FFF2-40B4-BE49-F238E27FC236}">
              <a16:creationId xmlns:a16="http://schemas.microsoft.com/office/drawing/2014/main" id="{D6078003-5291-88BB-68AB-9E135FC88067}"/>
            </a:ext>
          </a:extLst>
        </xdr:cNvPr>
        <xdr:cNvSpPr/>
      </xdr:nvSpPr>
      <xdr:spPr>
        <a:xfrm rot="16200000">
          <a:off x="13522515502" y="80712732"/>
          <a:ext cx="304799" cy="336973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402167</xdr:colOff>
      <xdr:row>445</xdr:row>
      <xdr:rowOff>63500</xdr:rowOff>
    </xdr:from>
    <xdr:to>
      <xdr:col>4</xdr:col>
      <xdr:colOff>406400</xdr:colOff>
      <xdr:row>447</xdr:row>
      <xdr:rowOff>114300</xdr:rowOff>
    </xdr:to>
    <xdr:cxnSp macro="">
      <xdr:nvCxnSpPr>
        <xdr:cNvPr id="118" name="Straight Connector 117">
          <a:extLst>
            <a:ext uri="{FF2B5EF4-FFF2-40B4-BE49-F238E27FC236}">
              <a16:creationId xmlns:a16="http://schemas.microsoft.com/office/drawing/2014/main" id="{875A62C6-EBFA-F5B3-D7AD-C3D2F59F4C7D}"/>
            </a:ext>
          </a:extLst>
        </xdr:cNvPr>
        <xdr:cNvCxnSpPr/>
      </xdr:nvCxnSpPr>
      <xdr:spPr>
        <a:xfrm>
          <a:off x="13521283600" y="82410300"/>
          <a:ext cx="4233" cy="4572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436034</xdr:colOff>
      <xdr:row>445</xdr:row>
      <xdr:rowOff>46566</xdr:rowOff>
    </xdr:from>
    <xdr:to>
      <xdr:col>5</xdr:col>
      <xdr:colOff>440267</xdr:colOff>
      <xdr:row>447</xdr:row>
      <xdr:rowOff>97366</xdr:rowOff>
    </xdr:to>
    <xdr:cxnSp macro="">
      <xdr:nvCxnSpPr>
        <xdr:cNvPr id="119" name="Straight Connector 118">
          <a:extLst>
            <a:ext uri="{FF2B5EF4-FFF2-40B4-BE49-F238E27FC236}">
              <a16:creationId xmlns:a16="http://schemas.microsoft.com/office/drawing/2014/main" id="{1F2BDBC0-89EE-6F9A-8FDF-2F7AD6ADE515}"/>
            </a:ext>
          </a:extLst>
        </xdr:cNvPr>
        <xdr:cNvCxnSpPr/>
      </xdr:nvCxnSpPr>
      <xdr:spPr>
        <a:xfrm>
          <a:off x="13520424233" y="82393366"/>
          <a:ext cx="4233" cy="45720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397933</xdr:colOff>
      <xdr:row>447</xdr:row>
      <xdr:rowOff>84666</xdr:rowOff>
    </xdr:from>
    <xdr:to>
      <xdr:col>5</xdr:col>
      <xdr:colOff>440267</xdr:colOff>
      <xdr:row>447</xdr:row>
      <xdr:rowOff>97365</xdr:rowOff>
    </xdr:to>
    <xdr:cxnSp macro="">
      <xdr:nvCxnSpPr>
        <xdr:cNvPr id="120" name="Straight Connector 119">
          <a:extLst>
            <a:ext uri="{FF2B5EF4-FFF2-40B4-BE49-F238E27FC236}">
              <a16:creationId xmlns:a16="http://schemas.microsoft.com/office/drawing/2014/main" id="{9565E7B6-EFCE-9111-AE01-AAA4A4071D4C}"/>
            </a:ext>
          </a:extLst>
        </xdr:cNvPr>
        <xdr:cNvCxnSpPr/>
      </xdr:nvCxnSpPr>
      <xdr:spPr>
        <a:xfrm flipH="1" flipV="1">
          <a:off x="13520424233" y="82837866"/>
          <a:ext cx="867834" cy="12699"/>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440267</xdr:colOff>
      <xdr:row>479</xdr:row>
      <xdr:rowOff>118533</xdr:rowOff>
    </xdr:from>
    <xdr:to>
      <xdr:col>7</xdr:col>
      <xdr:colOff>105833</xdr:colOff>
      <xdr:row>479</xdr:row>
      <xdr:rowOff>122767</xdr:rowOff>
    </xdr:to>
    <xdr:cxnSp macro="">
      <xdr:nvCxnSpPr>
        <xdr:cNvPr id="123" name="Straight Arrow Connector 122">
          <a:extLst>
            <a:ext uri="{FF2B5EF4-FFF2-40B4-BE49-F238E27FC236}">
              <a16:creationId xmlns:a16="http://schemas.microsoft.com/office/drawing/2014/main" id="{16BD6059-7276-4148-291E-DE17AC03D1B8}"/>
            </a:ext>
          </a:extLst>
        </xdr:cNvPr>
        <xdr:cNvCxnSpPr/>
      </xdr:nvCxnSpPr>
      <xdr:spPr>
        <a:xfrm flipV="1">
          <a:off x="13519107667" y="88154933"/>
          <a:ext cx="5609166" cy="423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431800</xdr:colOff>
      <xdr:row>481</xdr:row>
      <xdr:rowOff>14817</xdr:rowOff>
    </xdr:from>
    <xdr:to>
      <xdr:col>5</xdr:col>
      <xdr:colOff>395818</xdr:colOff>
      <xdr:row>482</xdr:row>
      <xdr:rowOff>42333</xdr:rowOff>
    </xdr:to>
    <xdr:sp macro="" textlink="">
      <xdr:nvSpPr>
        <xdr:cNvPr id="124" name="Left Brace 123">
          <a:extLst>
            <a:ext uri="{FF2B5EF4-FFF2-40B4-BE49-F238E27FC236}">
              <a16:creationId xmlns:a16="http://schemas.microsoft.com/office/drawing/2014/main" id="{02FB8BC2-01A5-F687-6EDA-9F3D855A6422}"/>
            </a:ext>
          </a:extLst>
        </xdr:cNvPr>
        <xdr:cNvSpPr/>
      </xdr:nvSpPr>
      <xdr:spPr>
        <a:xfrm rot="16200000">
          <a:off x="13522024433" y="86901866"/>
          <a:ext cx="230716" cy="334221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347132</xdr:colOff>
      <xdr:row>480</xdr:row>
      <xdr:rowOff>8466</xdr:rowOff>
    </xdr:from>
    <xdr:to>
      <xdr:col>6</xdr:col>
      <xdr:colOff>372533</xdr:colOff>
      <xdr:row>483</xdr:row>
      <xdr:rowOff>105833</xdr:rowOff>
    </xdr:to>
    <xdr:grpSp>
      <xdr:nvGrpSpPr>
        <xdr:cNvPr id="134" name="Group 133">
          <a:extLst>
            <a:ext uri="{FF2B5EF4-FFF2-40B4-BE49-F238E27FC236}">
              <a16:creationId xmlns:a16="http://schemas.microsoft.com/office/drawing/2014/main" id="{28C65A70-2893-419B-C77B-BBF79948EAF9}"/>
            </a:ext>
          </a:extLst>
        </xdr:cNvPr>
        <xdr:cNvGrpSpPr/>
      </xdr:nvGrpSpPr>
      <xdr:grpSpPr>
        <a:xfrm>
          <a:off x="13523098820" y="96947608"/>
          <a:ext cx="851111" cy="700931"/>
          <a:chOff x="13519666467" y="88248066"/>
          <a:chExt cx="850901" cy="706967"/>
        </a:xfrm>
      </xdr:grpSpPr>
      <xdr:cxnSp macro="">
        <xdr:nvCxnSpPr>
          <xdr:cNvPr id="125" name="Straight Arrow Connector 124">
            <a:extLst>
              <a:ext uri="{FF2B5EF4-FFF2-40B4-BE49-F238E27FC236}">
                <a16:creationId xmlns:a16="http://schemas.microsoft.com/office/drawing/2014/main" id="{1817D37B-5765-7DAC-8C1A-2CA1D9AE6752}"/>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31" name="Straight Connector 130">
            <a:extLst>
              <a:ext uri="{FF2B5EF4-FFF2-40B4-BE49-F238E27FC236}">
                <a16:creationId xmlns:a16="http://schemas.microsoft.com/office/drawing/2014/main" id="{A066BD1B-6D46-953A-D6BD-92A75675BE8C}"/>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32" name="Straight Connector 131">
            <a:extLst>
              <a:ext uri="{FF2B5EF4-FFF2-40B4-BE49-F238E27FC236}">
                <a16:creationId xmlns:a16="http://schemas.microsoft.com/office/drawing/2014/main" id="{E5B7B66A-106F-7FA5-73E1-5C0A13FF5576}"/>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5</xdr:col>
      <xdr:colOff>414868</xdr:colOff>
      <xdr:row>475</xdr:row>
      <xdr:rowOff>143932</xdr:rowOff>
    </xdr:from>
    <xdr:to>
      <xdr:col>6</xdr:col>
      <xdr:colOff>427569</xdr:colOff>
      <xdr:row>478</xdr:row>
      <xdr:rowOff>50798</xdr:rowOff>
    </xdr:to>
    <xdr:grpSp>
      <xdr:nvGrpSpPr>
        <xdr:cNvPr id="135" name="Group 134">
          <a:extLst>
            <a:ext uri="{FF2B5EF4-FFF2-40B4-BE49-F238E27FC236}">
              <a16:creationId xmlns:a16="http://schemas.microsoft.com/office/drawing/2014/main" id="{2F82BA41-A346-5842-B714-21E449035204}"/>
            </a:ext>
          </a:extLst>
        </xdr:cNvPr>
        <xdr:cNvGrpSpPr/>
      </xdr:nvGrpSpPr>
      <xdr:grpSpPr>
        <a:xfrm rot="10800000">
          <a:off x="13523043784" y="96077133"/>
          <a:ext cx="838411" cy="510431"/>
          <a:chOff x="13519666467" y="88248066"/>
          <a:chExt cx="850901" cy="706967"/>
        </a:xfrm>
      </xdr:grpSpPr>
      <xdr:cxnSp macro="">
        <xdr:nvCxnSpPr>
          <xdr:cNvPr id="136" name="Straight Arrow Connector 135">
            <a:extLst>
              <a:ext uri="{FF2B5EF4-FFF2-40B4-BE49-F238E27FC236}">
                <a16:creationId xmlns:a16="http://schemas.microsoft.com/office/drawing/2014/main" id="{45234811-A331-D5BE-D217-0A2DE2330DD5}"/>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37" name="Straight Connector 136">
            <a:extLst>
              <a:ext uri="{FF2B5EF4-FFF2-40B4-BE49-F238E27FC236}">
                <a16:creationId xmlns:a16="http://schemas.microsoft.com/office/drawing/2014/main" id="{0B961752-4254-A7DA-CE67-47AA5D3591FA}"/>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38" name="Straight Connector 137">
            <a:extLst>
              <a:ext uri="{FF2B5EF4-FFF2-40B4-BE49-F238E27FC236}">
                <a16:creationId xmlns:a16="http://schemas.microsoft.com/office/drawing/2014/main" id="{A2B723EF-0971-F080-9762-4629E356ABB4}"/>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oneCellAnchor>
    <xdr:from>
      <xdr:col>7</xdr:col>
      <xdr:colOff>804334</xdr:colOff>
      <xdr:row>478</xdr:row>
      <xdr:rowOff>169332</xdr:rowOff>
    </xdr:from>
    <xdr:ext cx="2216269" cy="324641"/>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2B490E69-44E4-717B-5382-E980783421DB}"/>
                </a:ext>
              </a:extLst>
            </xdr:cNvPr>
            <xdr:cNvSpPr txBox="1"/>
          </xdr:nvSpPr>
          <xdr:spPr>
            <a:xfrm>
              <a:off x="13516192897" y="89221732"/>
              <a:ext cx="221626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10%−5%</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1+10%</m:t>
                        </m:r>
                      </m:e>
                    </m:d>
                    <m:r>
                      <a:rPr lang="en-US" sz="1100" b="0" i="1">
                        <a:latin typeface="Cambria Math" panose="02040503050406030204" pitchFamily="18" charset="0"/>
                      </a:rPr>
                      <m:t>=44</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2B490E69-44E4-717B-5382-E980783421DB}"/>
                </a:ext>
              </a:extLst>
            </xdr:cNvPr>
            <xdr:cNvSpPr txBox="1"/>
          </xdr:nvSpPr>
          <xdr:spPr>
            <a:xfrm>
              <a:off x="13516192897" y="89221732"/>
              <a:ext cx="221626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𝑃_𝑆=2/(10%−5%)∗(1+10%)=44</a:t>
              </a:r>
              <a:endParaRPr lang="en-US" sz="1100"/>
            </a:p>
          </xdr:txBody>
        </xdr:sp>
      </mc:Fallback>
    </mc:AlternateContent>
    <xdr:clientData/>
  </xdr:oneCellAnchor>
  <xdr:twoCellAnchor>
    <xdr:from>
      <xdr:col>0</xdr:col>
      <xdr:colOff>444501</xdr:colOff>
      <xdr:row>491</xdr:row>
      <xdr:rowOff>55033</xdr:rowOff>
    </xdr:from>
    <xdr:to>
      <xdr:col>7</xdr:col>
      <xdr:colOff>110067</xdr:colOff>
      <xdr:row>491</xdr:row>
      <xdr:rowOff>59267</xdr:rowOff>
    </xdr:to>
    <xdr:cxnSp macro="">
      <xdr:nvCxnSpPr>
        <xdr:cNvPr id="140" name="Straight Arrow Connector 139">
          <a:extLst>
            <a:ext uri="{FF2B5EF4-FFF2-40B4-BE49-F238E27FC236}">
              <a16:creationId xmlns:a16="http://schemas.microsoft.com/office/drawing/2014/main" id="{7ADE0159-2CA4-074D-B086-638A7D80FA65}"/>
            </a:ext>
          </a:extLst>
        </xdr:cNvPr>
        <xdr:cNvCxnSpPr/>
      </xdr:nvCxnSpPr>
      <xdr:spPr>
        <a:xfrm flipV="1">
          <a:off x="13519103433" y="91749033"/>
          <a:ext cx="5609166" cy="423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431800</xdr:colOff>
      <xdr:row>493</xdr:row>
      <xdr:rowOff>14817</xdr:rowOff>
    </xdr:from>
    <xdr:to>
      <xdr:col>4</xdr:col>
      <xdr:colOff>495300</xdr:colOff>
      <xdr:row>493</xdr:row>
      <xdr:rowOff>194733</xdr:rowOff>
    </xdr:to>
    <xdr:sp macro="" textlink="">
      <xdr:nvSpPr>
        <xdr:cNvPr id="141" name="Left Brace 140">
          <a:extLst>
            <a:ext uri="{FF2B5EF4-FFF2-40B4-BE49-F238E27FC236}">
              <a16:creationId xmlns:a16="http://schemas.microsoft.com/office/drawing/2014/main" id="{63388C08-9368-D64D-A525-3BC91DA3C685}"/>
            </a:ext>
          </a:extLst>
        </xdr:cNvPr>
        <xdr:cNvSpPr/>
      </xdr:nvSpPr>
      <xdr:spPr>
        <a:xfrm rot="16200000">
          <a:off x="13522412842" y="91709875"/>
          <a:ext cx="179916" cy="26162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376765</xdr:colOff>
      <xdr:row>494</xdr:row>
      <xdr:rowOff>55033</xdr:rowOff>
    </xdr:from>
    <xdr:to>
      <xdr:col>5</xdr:col>
      <xdr:colOff>402166</xdr:colOff>
      <xdr:row>496</xdr:row>
      <xdr:rowOff>118533</xdr:rowOff>
    </xdr:to>
    <xdr:grpSp>
      <xdr:nvGrpSpPr>
        <xdr:cNvPr id="142" name="Group 141">
          <a:extLst>
            <a:ext uri="{FF2B5EF4-FFF2-40B4-BE49-F238E27FC236}">
              <a16:creationId xmlns:a16="http://schemas.microsoft.com/office/drawing/2014/main" id="{F0AFAE89-2245-2543-BB4C-C874CC06CEC0}"/>
            </a:ext>
          </a:extLst>
        </xdr:cNvPr>
        <xdr:cNvGrpSpPr/>
      </xdr:nvGrpSpPr>
      <xdr:grpSpPr>
        <a:xfrm>
          <a:off x="13523894897" y="99810809"/>
          <a:ext cx="851110" cy="465876"/>
          <a:chOff x="13519666467" y="88248066"/>
          <a:chExt cx="850901" cy="706967"/>
        </a:xfrm>
      </xdr:grpSpPr>
      <xdr:cxnSp macro="">
        <xdr:nvCxnSpPr>
          <xdr:cNvPr id="143" name="Straight Arrow Connector 142">
            <a:extLst>
              <a:ext uri="{FF2B5EF4-FFF2-40B4-BE49-F238E27FC236}">
                <a16:creationId xmlns:a16="http://schemas.microsoft.com/office/drawing/2014/main" id="{0DD2BF95-3DA5-7ED2-BBA7-436F950E3149}"/>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44" name="Straight Connector 143">
            <a:extLst>
              <a:ext uri="{FF2B5EF4-FFF2-40B4-BE49-F238E27FC236}">
                <a16:creationId xmlns:a16="http://schemas.microsoft.com/office/drawing/2014/main" id="{11F75196-29A6-A1D2-C63E-D50D9BC8B598}"/>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45" name="Straight Connector 144">
            <a:extLst>
              <a:ext uri="{FF2B5EF4-FFF2-40B4-BE49-F238E27FC236}">
                <a16:creationId xmlns:a16="http://schemas.microsoft.com/office/drawing/2014/main" id="{991D8FD1-77BC-6705-B486-D3A1C042984B}"/>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5</xdr:col>
      <xdr:colOff>563034</xdr:colOff>
      <xdr:row>491</xdr:row>
      <xdr:rowOff>152399</xdr:rowOff>
    </xdr:from>
    <xdr:to>
      <xdr:col>5</xdr:col>
      <xdr:colOff>746125</xdr:colOff>
      <xdr:row>494</xdr:row>
      <xdr:rowOff>96308</xdr:rowOff>
    </xdr:to>
    <xdr:sp macro="" textlink="">
      <xdr:nvSpPr>
        <xdr:cNvPr id="150" name="Left Brace 149">
          <a:extLst>
            <a:ext uri="{FF2B5EF4-FFF2-40B4-BE49-F238E27FC236}">
              <a16:creationId xmlns:a16="http://schemas.microsoft.com/office/drawing/2014/main" id="{F276136C-87DF-4279-A418-0A3A67A005A1}"/>
            </a:ext>
          </a:extLst>
        </xdr:cNvPr>
        <xdr:cNvSpPr/>
      </xdr:nvSpPr>
      <xdr:spPr>
        <a:xfrm>
          <a:off x="13520118375" y="92659199"/>
          <a:ext cx="183091" cy="553509"/>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647700</xdr:colOff>
      <xdr:row>535</xdr:row>
      <xdr:rowOff>67733</xdr:rowOff>
    </xdr:from>
    <xdr:to>
      <xdr:col>7</xdr:col>
      <xdr:colOff>38100</xdr:colOff>
      <xdr:row>535</xdr:row>
      <xdr:rowOff>76200</xdr:rowOff>
    </xdr:to>
    <xdr:cxnSp macro="">
      <xdr:nvCxnSpPr>
        <xdr:cNvPr id="152" name="Straight Arrow Connector 151">
          <a:extLst>
            <a:ext uri="{FF2B5EF4-FFF2-40B4-BE49-F238E27FC236}">
              <a16:creationId xmlns:a16="http://schemas.microsoft.com/office/drawing/2014/main" id="{D6D5E8CE-546C-4179-13FD-3FE699765888}"/>
            </a:ext>
          </a:extLst>
        </xdr:cNvPr>
        <xdr:cNvCxnSpPr/>
      </xdr:nvCxnSpPr>
      <xdr:spPr>
        <a:xfrm flipV="1">
          <a:off x="13519175400" y="98873733"/>
          <a:ext cx="5334000" cy="84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440267</xdr:colOff>
      <xdr:row>533</xdr:row>
      <xdr:rowOff>12203</xdr:rowOff>
    </xdr:from>
    <xdr:to>
      <xdr:col>6</xdr:col>
      <xdr:colOff>393700</xdr:colOff>
      <xdr:row>534</xdr:row>
      <xdr:rowOff>16933</xdr:rowOff>
    </xdr:to>
    <xdr:sp macro="" textlink="">
      <xdr:nvSpPr>
        <xdr:cNvPr id="154" name="Freeform 153">
          <a:extLst>
            <a:ext uri="{FF2B5EF4-FFF2-40B4-BE49-F238E27FC236}">
              <a16:creationId xmlns:a16="http://schemas.microsoft.com/office/drawing/2014/main" id="{94390ACE-F0DD-47E4-D01A-D1D7AE4C2339}"/>
            </a:ext>
          </a:extLst>
        </xdr:cNvPr>
        <xdr:cNvSpPr/>
      </xdr:nvSpPr>
      <xdr:spPr>
        <a:xfrm>
          <a:off x="13519645300" y="990214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414867</xdr:colOff>
      <xdr:row>533</xdr:row>
      <xdr:rowOff>37603</xdr:rowOff>
    </xdr:from>
    <xdr:to>
      <xdr:col>5</xdr:col>
      <xdr:colOff>368300</xdr:colOff>
      <xdr:row>534</xdr:row>
      <xdr:rowOff>42333</xdr:rowOff>
    </xdr:to>
    <xdr:sp macro="" textlink="">
      <xdr:nvSpPr>
        <xdr:cNvPr id="155" name="Freeform 154">
          <a:extLst>
            <a:ext uri="{FF2B5EF4-FFF2-40B4-BE49-F238E27FC236}">
              <a16:creationId xmlns:a16="http://schemas.microsoft.com/office/drawing/2014/main" id="{FEE739A4-2A76-7E49-B879-B93F9517AD08}"/>
            </a:ext>
          </a:extLst>
        </xdr:cNvPr>
        <xdr:cNvSpPr/>
      </xdr:nvSpPr>
      <xdr:spPr>
        <a:xfrm>
          <a:off x="13520496200" y="990468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410633</xdr:colOff>
      <xdr:row>533</xdr:row>
      <xdr:rowOff>24904</xdr:rowOff>
    </xdr:from>
    <xdr:to>
      <xdr:col>4</xdr:col>
      <xdr:colOff>364066</xdr:colOff>
      <xdr:row>534</xdr:row>
      <xdr:rowOff>29634</xdr:rowOff>
    </xdr:to>
    <xdr:sp macro="" textlink="">
      <xdr:nvSpPr>
        <xdr:cNvPr id="156" name="Freeform 155">
          <a:extLst>
            <a:ext uri="{FF2B5EF4-FFF2-40B4-BE49-F238E27FC236}">
              <a16:creationId xmlns:a16="http://schemas.microsoft.com/office/drawing/2014/main" id="{82990452-1E19-3B4A-BBB1-3E15352F4FFF}"/>
            </a:ext>
          </a:extLst>
        </xdr:cNvPr>
        <xdr:cNvSpPr/>
      </xdr:nvSpPr>
      <xdr:spPr>
        <a:xfrm>
          <a:off x="13521325934" y="99034104"/>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448733</xdr:colOff>
      <xdr:row>533</xdr:row>
      <xdr:rowOff>24903</xdr:rowOff>
    </xdr:from>
    <xdr:to>
      <xdr:col>3</xdr:col>
      <xdr:colOff>402166</xdr:colOff>
      <xdr:row>534</xdr:row>
      <xdr:rowOff>29633</xdr:rowOff>
    </xdr:to>
    <xdr:sp macro="" textlink="">
      <xdr:nvSpPr>
        <xdr:cNvPr id="157" name="Freeform 156">
          <a:extLst>
            <a:ext uri="{FF2B5EF4-FFF2-40B4-BE49-F238E27FC236}">
              <a16:creationId xmlns:a16="http://schemas.microsoft.com/office/drawing/2014/main" id="{27DA5B23-F998-8B4A-9D2C-3EEF0024EAE5}"/>
            </a:ext>
          </a:extLst>
        </xdr:cNvPr>
        <xdr:cNvSpPr/>
      </xdr:nvSpPr>
      <xdr:spPr>
        <a:xfrm>
          <a:off x="13522113334" y="99034103"/>
          <a:ext cx="778933" cy="207930"/>
        </a:xfrm>
        <a:custGeom>
          <a:avLst/>
          <a:gdLst>
            <a:gd name="connsiteX0" fmla="*/ 0 w 778933"/>
            <a:gd name="connsiteY0" fmla="*/ 161364 h 207930"/>
            <a:gd name="connsiteX1" fmla="*/ 313267 w 778933"/>
            <a:gd name="connsiteY1" fmla="*/ 497 h 207930"/>
            <a:gd name="connsiteX2" fmla="*/ 778933 w 778933"/>
            <a:gd name="connsiteY2" fmla="*/ 207930 h 207930"/>
          </a:gdLst>
          <a:ahLst/>
          <a:cxnLst>
            <a:cxn ang="0">
              <a:pos x="connsiteX0" y="connsiteY0"/>
            </a:cxn>
            <a:cxn ang="0">
              <a:pos x="connsiteX1" y="connsiteY1"/>
            </a:cxn>
            <a:cxn ang="0">
              <a:pos x="connsiteX2" y="connsiteY2"/>
            </a:cxn>
          </a:cxnLst>
          <a:rect l="l" t="t" r="r" b="b"/>
          <a:pathLst>
            <a:path w="778933" h="207930">
              <a:moveTo>
                <a:pt x="0" y="161364"/>
              </a:moveTo>
              <a:cubicBezTo>
                <a:pt x="91722" y="77050"/>
                <a:pt x="183445" y="-7264"/>
                <a:pt x="313267" y="497"/>
              </a:cubicBezTo>
              <a:cubicBezTo>
                <a:pt x="443089" y="8258"/>
                <a:pt x="611011" y="108094"/>
                <a:pt x="778933" y="20793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501113</xdr:colOff>
      <xdr:row>538</xdr:row>
      <xdr:rowOff>45904</xdr:rowOff>
    </xdr:from>
    <xdr:to>
      <xdr:col>2</xdr:col>
      <xdr:colOff>344275</xdr:colOff>
      <xdr:row>539</xdr:row>
      <xdr:rowOff>57380</xdr:rowOff>
    </xdr:to>
    <xdr:sp macro="" textlink="">
      <xdr:nvSpPr>
        <xdr:cNvPr id="158" name="Left Brace 157">
          <a:extLst>
            <a:ext uri="{FF2B5EF4-FFF2-40B4-BE49-F238E27FC236}">
              <a16:creationId xmlns:a16="http://schemas.microsoft.com/office/drawing/2014/main" id="{86BBBACA-81D0-2CEE-6BD7-F544E5383EFA}"/>
            </a:ext>
          </a:extLst>
        </xdr:cNvPr>
        <xdr:cNvSpPr/>
      </xdr:nvSpPr>
      <xdr:spPr>
        <a:xfrm rot="16200000">
          <a:off x="13536252923" y="100314700"/>
          <a:ext cx="214217" cy="166018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256295</xdr:colOff>
      <xdr:row>537</xdr:row>
      <xdr:rowOff>183614</xdr:rowOff>
    </xdr:from>
    <xdr:to>
      <xdr:col>3</xdr:col>
      <xdr:colOff>281696</xdr:colOff>
      <xdr:row>540</xdr:row>
      <xdr:rowOff>44373</xdr:rowOff>
    </xdr:to>
    <xdr:grpSp>
      <xdr:nvGrpSpPr>
        <xdr:cNvPr id="159" name="Group 158">
          <a:extLst>
            <a:ext uri="{FF2B5EF4-FFF2-40B4-BE49-F238E27FC236}">
              <a16:creationId xmlns:a16="http://schemas.microsoft.com/office/drawing/2014/main" id="{0070751B-2E1E-9648-B933-1C4009A77F3B}"/>
            </a:ext>
          </a:extLst>
        </xdr:cNvPr>
        <xdr:cNvGrpSpPr/>
      </xdr:nvGrpSpPr>
      <xdr:grpSpPr>
        <a:xfrm>
          <a:off x="13525666786" y="108590479"/>
          <a:ext cx="851111" cy="464323"/>
          <a:chOff x="13519666467" y="88248066"/>
          <a:chExt cx="850901" cy="706967"/>
        </a:xfrm>
      </xdr:grpSpPr>
      <xdr:cxnSp macro="">
        <xdr:nvCxnSpPr>
          <xdr:cNvPr id="160" name="Straight Arrow Connector 159">
            <a:extLst>
              <a:ext uri="{FF2B5EF4-FFF2-40B4-BE49-F238E27FC236}">
                <a16:creationId xmlns:a16="http://schemas.microsoft.com/office/drawing/2014/main" id="{45B7C653-2A62-1295-DAA9-05A520B01158}"/>
              </a:ext>
            </a:extLst>
          </xdr:cNvPr>
          <xdr:cNvCxnSpPr/>
        </xdr:nvCxnSpPr>
        <xdr:spPr>
          <a:xfrm flipH="1" flipV="1">
            <a:off x="13519666467" y="88248066"/>
            <a:ext cx="16933" cy="69850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61" name="Straight Connector 160">
            <a:extLst>
              <a:ext uri="{FF2B5EF4-FFF2-40B4-BE49-F238E27FC236}">
                <a16:creationId xmlns:a16="http://schemas.microsoft.com/office/drawing/2014/main" id="{1061826A-DB7F-638C-3D73-8C9359572267}"/>
              </a:ext>
            </a:extLst>
          </xdr:cNvPr>
          <xdr:cNvCxnSpPr/>
        </xdr:nvCxnSpPr>
        <xdr:spPr>
          <a:xfrm flipV="1">
            <a:off x="13519666467" y="88942333"/>
            <a:ext cx="842433" cy="8467"/>
          </a:xfrm>
          <a:prstGeom prst="line">
            <a:avLst/>
          </a:prstGeom>
        </xdr:spPr>
        <xdr:style>
          <a:lnRef idx="3">
            <a:schemeClr val="dk1"/>
          </a:lnRef>
          <a:fillRef idx="0">
            <a:schemeClr val="dk1"/>
          </a:fillRef>
          <a:effectRef idx="2">
            <a:schemeClr val="dk1"/>
          </a:effectRef>
          <a:fontRef idx="minor">
            <a:schemeClr val="tx1"/>
          </a:fontRef>
        </xdr:style>
      </xdr:cxnSp>
      <xdr:cxnSp macro="">
        <xdr:nvCxnSpPr>
          <xdr:cNvPr id="162" name="Straight Connector 161">
            <a:extLst>
              <a:ext uri="{FF2B5EF4-FFF2-40B4-BE49-F238E27FC236}">
                <a16:creationId xmlns:a16="http://schemas.microsoft.com/office/drawing/2014/main" id="{1AE2FFFE-52AF-F5E1-85B7-0B4A72018614}"/>
              </a:ext>
            </a:extLst>
          </xdr:cNvPr>
          <xdr:cNvCxnSpPr/>
        </xdr:nvCxnSpPr>
        <xdr:spPr>
          <a:xfrm>
            <a:off x="13520500435" y="88620600"/>
            <a:ext cx="16933" cy="334433"/>
          </a:xfrm>
          <a:prstGeom prst="line">
            <a:avLst/>
          </a:prstGeom>
        </xdr:spPr>
        <xdr:style>
          <a:lnRef idx="3">
            <a:schemeClr val="dk1"/>
          </a:lnRef>
          <a:fillRef idx="0">
            <a:schemeClr val="dk1"/>
          </a:fillRef>
          <a:effectRef idx="2">
            <a:schemeClr val="dk1"/>
          </a:effectRef>
          <a:fontRef idx="minor">
            <a:schemeClr val="tx1"/>
          </a:fontRef>
        </xdr:style>
      </xdr:cxnSp>
    </xdr:grpSp>
    <xdr:clientData/>
  </xdr:twoCellAnchor>
  <xdr:twoCellAnchor>
    <xdr:from>
      <xdr:col>3</xdr:col>
      <xdr:colOff>690313</xdr:colOff>
      <xdr:row>535</xdr:row>
      <xdr:rowOff>150453</xdr:rowOff>
    </xdr:from>
    <xdr:to>
      <xdr:col>4</xdr:col>
      <xdr:colOff>17700</xdr:colOff>
      <xdr:row>538</xdr:row>
      <xdr:rowOff>6411</xdr:rowOff>
    </xdr:to>
    <xdr:sp macro="" textlink="">
      <xdr:nvSpPr>
        <xdr:cNvPr id="163" name="Left Brace 162">
          <a:extLst>
            <a:ext uri="{FF2B5EF4-FFF2-40B4-BE49-F238E27FC236}">
              <a16:creationId xmlns:a16="http://schemas.microsoft.com/office/drawing/2014/main" id="{1FF620FA-8F6F-BCCC-A6E7-B0440FC264C0}"/>
            </a:ext>
          </a:extLst>
        </xdr:cNvPr>
        <xdr:cNvSpPr/>
      </xdr:nvSpPr>
      <xdr:spPr>
        <a:xfrm>
          <a:off x="13554289617" y="100971638"/>
          <a:ext cx="154878" cy="466620"/>
        </a:xfrm>
        <a:prstGeom prst="leftBrace">
          <a:avLst>
            <a:gd name="adj1" fmla="val 8333"/>
            <a:gd name="adj2" fmla="val 82243"/>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26550</xdr:colOff>
      <xdr:row>537</xdr:row>
      <xdr:rowOff>119477</xdr:rowOff>
    </xdr:from>
    <xdr:to>
      <xdr:col>7</xdr:col>
      <xdr:colOff>809791</xdr:colOff>
      <xdr:row>537</xdr:row>
      <xdr:rowOff>146028</xdr:rowOff>
    </xdr:to>
    <xdr:cxnSp macro="">
      <xdr:nvCxnSpPr>
        <xdr:cNvPr id="169" name="Straight Arrow Connector 168">
          <a:extLst>
            <a:ext uri="{FF2B5EF4-FFF2-40B4-BE49-F238E27FC236}">
              <a16:creationId xmlns:a16="http://schemas.microsoft.com/office/drawing/2014/main" id="{ABA44991-482B-AB40-7AE1-811AB5D4E551}"/>
            </a:ext>
          </a:extLst>
        </xdr:cNvPr>
        <xdr:cNvCxnSpPr/>
      </xdr:nvCxnSpPr>
      <xdr:spPr>
        <a:xfrm flipH="1">
          <a:off x="13551015052" y="101347770"/>
          <a:ext cx="3265715" cy="265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19051</xdr:colOff>
      <xdr:row>96</xdr:row>
      <xdr:rowOff>147637</xdr:rowOff>
    </xdr:from>
    <xdr:ext cx="1273293" cy="34657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918EC5E2-8F12-2EB3-1B1F-F9C04F5818F8}"/>
                </a:ext>
              </a:extLst>
            </xdr:cNvPr>
            <xdr:cNvSpPr txBox="1"/>
          </xdr:nvSpPr>
          <xdr:spPr>
            <a:xfrm>
              <a:off x="13521223156" y="19502437"/>
              <a:ext cx="1273293"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918EC5E2-8F12-2EB3-1B1F-F9C04F5818F8}"/>
                </a:ext>
              </a:extLst>
            </xdr:cNvPr>
            <xdr:cNvSpPr txBox="1"/>
          </xdr:nvSpPr>
          <xdr:spPr>
            <a:xfrm>
              <a:off x="13521223156" y="19502437"/>
              <a:ext cx="1273293"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twoCellAnchor>
    <xdr:from>
      <xdr:col>4</xdr:col>
      <xdr:colOff>107950</xdr:colOff>
      <xdr:row>98</xdr:row>
      <xdr:rowOff>34925</xdr:rowOff>
    </xdr:from>
    <xdr:to>
      <xdr:col>4</xdr:col>
      <xdr:colOff>107950</xdr:colOff>
      <xdr:row>100</xdr:row>
      <xdr:rowOff>19050</xdr:rowOff>
    </xdr:to>
    <xdr:cxnSp macro="">
      <xdr:nvCxnSpPr>
        <xdr:cNvPr id="56" name="Straight Arrow Connector 55">
          <a:extLst>
            <a:ext uri="{FF2B5EF4-FFF2-40B4-BE49-F238E27FC236}">
              <a16:creationId xmlns:a16="http://schemas.microsoft.com/office/drawing/2014/main" id="{7B6065A3-A1B8-88E5-045E-B2F3EEEC8DD5}"/>
            </a:ext>
          </a:extLst>
        </xdr:cNvPr>
        <xdr:cNvCxnSpPr/>
      </xdr:nvCxnSpPr>
      <xdr:spPr>
        <a:xfrm>
          <a:off x="13521582050" y="19796125"/>
          <a:ext cx="0" cy="39052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511175</xdr:colOff>
      <xdr:row>95</xdr:row>
      <xdr:rowOff>200025</xdr:rowOff>
    </xdr:from>
    <xdr:to>
      <xdr:col>3</xdr:col>
      <xdr:colOff>514350</xdr:colOff>
      <xdr:row>96</xdr:row>
      <xdr:rowOff>136525</xdr:rowOff>
    </xdr:to>
    <xdr:cxnSp macro="">
      <xdr:nvCxnSpPr>
        <xdr:cNvPr id="58" name="Straight Arrow Connector 57">
          <a:extLst>
            <a:ext uri="{FF2B5EF4-FFF2-40B4-BE49-F238E27FC236}">
              <a16:creationId xmlns:a16="http://schemas.microsoft.com/office/drawing/2014/main" id="{A8E463D9-1D35-5184-5E1E-E5D042D8D76B}"/>
            </a:ext>
          </a:extLst>
        </xdr:cNvPr>
        <xdr:cNvCxnSpPr/>
      </xdr:nvCxnSpPr>
      <xdr:spPr>
        <a:xfrm flipV="1">
          <a:off x="13522001150" y="19351625"/>
          <a:ext cx="3175" cy="1397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161925</xdr:colOff>
      <xdr:row>98</xdr:row>
      <xdr:rowOff>142875</xdr:rowOff>
    </xdr:from>
    <xdr:to>
      <xdr:col>3</xdr:col>
      <xdr:colOff>504825</xdr:colOff>
      <xdr:row>99</xdr:row>
      <xdr:rowOff>149225</xdr:rowOff>
    </xdr:to>
    <xdr:cxnSp macro="">
      <xdr:nvCxnSpPr>
        <xdr:cNvPr id="67" name="Straight Arrow Connector 66">
          <a:extLst>
            <a:ext uri="{FF2B5EF4-FFF2-40B4-BE49-F238E27FC236}">
              <a16:creationId xmlns:a16="http://schemas.microsoft.com/office/drawing/2014/main" id="{97C929EC-814F-3640-7900-DAF798679F51}"/>
            </a:ext>
          </a:extLst>
        </xdr:cNvPr>
        <xdr:cNvCxnSpPr/>
      </xdr:nvCxnSpPr>
      <xdr:spPr>
        <a:xfrm>
          <a:off x="13522010675" y="20107275"/>
          <a:ext cx="342900" cy="2095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306387</xdr:colOff>
      <xdr:row>98</xdr:row>
      <xdr:rowOff>74613</xdr:rowOff>
    </xdr:from>
    <xdr:to>
      <xdr:col>3</xdr:col>
      <xdr:colOff>703262</xdr:colOff>
      <xdr:row>98</xdr:row>
      <xdr:rowOff>163513</xdr:rowOff>
    </xdr:to>
    <xdr:sp macro="" textlink="">
      <xdr:nvSpPr>
        <xdr:cNvPr id="76" name="Left Brace 75">
          <a:extLst>
            <a:ext uri="{FF2B5EF4-FFF2-40B4-BE49-F238E27FC236}">
              <a16:creationId xmlns:a16="http://schemas.microsoft.com/office/drawing/2014/main" id="{BA16844B-AC16-078F-4C18-76FEFDDD93E1}"/>
            </a:ext>
          </a:extLst>
        </xdr:cNvPr>
        <xdr:cNvSpPr/>
      </xdr:nvSpPr>
      <xdr:spPr>
        <a:xfrm rot="16200000">
          <a:off x="13521966226" y="19885025"/>
          <a:ext cx="88900" cy="3968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381000</xdr:colOff>
      <xdr:row>117</xdr:row>
      <xdr:rowOff>168275</xdr:rowOff>
    </xdr:from>
    <xdr:ext cx="2419468" cy="351122"/>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FA29258F-71DE-754C-9079-11DEC591D026}"/>
                </a:ext>
              </a:extLst>
            </xdr:cNvPr>
            <xdr:cNvSpPr txBox="1"/>
          </xdr:nvSpPr>
          <xdr:spPr>
            <a:xfrm>
              <a:off x="13520540532" y="23993475"/>
              <a:ext cx="2419468"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15%−10%</m:t>
                        </m:r>
                      </m:den>
                    </m:f>
                    <m:r>
                      <a:rPr lang="he-IL" sz="1100" b="0" i="1">
                        <a:latin typeface="Cambria Math" panose="02040503050406030204" pitchFamily="18" charset="0"/>
                      </a:rPr>
                      <m:t>=11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FA29258F-71DE-754C-9079-11DEC591D026}"/>
                </a:ext>
              </a:extLst>
            </xdr:cNvPr>
            <xdr:cNvSpPr txBox="1"/>
          </xdr:nvSpPr>
          <xdr:spPr>
            <a:xfrm>
              <a:off x="13520540532" y="23993475"/>
              <a:ext cx="2419468"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r>
                <a:rPr lang="he-IL" sz="1100" b="0" i="0">
                  <a:latin typeface="Cambria Math" panose="02040503050406030204" pitchFamily="18" charset="0"/>
                </a:rPr>
                <a:t>=0.55/(15%−10%)=11</a:t>
              </a:r>
              <a:endParaRPr lang="en-US" sz="1100"/>
            </a:p>
          </xdr:txBody>
        </xdr:sp>
      </mc:Fallback>
    </mc:AlternateContent>
    <xdr:clientData/>
  </xdr:oneCellAnchor>
  <xdr:oneCellAnchor>
    <xdr:from>
      <xdr:col>3</xdr:col>
      <xdr:colOff>358775</xdr:colOff>
      <xdr:row>131</xdr:row>
      <xdr:rowOff>179387</xdr:rowOff>
    </xdr:from>
    <xdr:ext cx="1517768" cy="34567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05933859-0F8D-B448-82B9-4505F119193C}"/>
                </a:ext>
              </a:extLst>
            </xdr:cNvPr>
            <xdr:cNvSpPr txBox="1"/>
          </xdr:nvSpPr>
          <xdr:spPr>
            <a:xfrm>
              <a:off x="13520638957" y="26874787"/>
              <a:ext cx="1517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05933859-0F8D-B448-82B9-4505F119193C}"/>
                </a:ext>
              </a:extLst>
            </xdr:cNvPr>
            <xdr:cNvSpPr txBox="1"/>
          </xdr:nvSpPr>
          <xdr:spPr>
            <a:xfrm>
              <a:off x="13520638957" y="26874787"/>
              <a:ext cx="1517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2</xdr:col>
      <xdr:colOff>104775</xdr:colOff>
      <xdr:row>139</xdr:row>
      <xdr:rowOff>176212</xdr:rowOff>
    </xdr:from>
    <xdr:ext cx="1517768" cy="320344"/>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5D453945-51A6-D7C2-5671-FFDE9235D0B6}"/>
                </a:ext>
              </a:extLst>
            </xdr:cNvPr>
            <xdr:cNvSpPr txBox="1"/>
          </xdr:nvSpPr>
          <xdr:spPr>
            <a:xfrm>
              <a:off x="13521718457" y="28497212"/>
              <a:ext cx="151776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r>
                          <a:rPr lang="en-US" sz="1100" b="0" i="1">
                            <a:latin typeface="Cambria Math" panose="02040503050406030204" pitchFamily="18" charset="0"/>
                          </a:rPr>
                          <m:t>11</m:t>
                        </m:r>
                      </m:den>
                    </m:f>
                    <m:r>
                      <a:rPr lang="en-US" sz="1100" b="0" i="1">
                        <a:latin typeface="Cambria Math" panose="02040503050406030204" pitchFamily="18" charset="0"/>
                      </a:rPr>
                      <m:t>=</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5D453945-51A6-D7C2-5671-FFDE9235D0B6}"/>
                </a:ext>
              </a:extLst>
            </xdr:cNvPr>
            <xdr:cNvSpPr txBox="1"/>
          </xdr:nvSpPr>
          <xdr:spPr>
            <a:xfrm>
              <a:off x="13521718457" y="28497212"/>
              <a:ext cx="151776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𝐷𝑌=0.55/11=</a:t>
              </a:r>
              <a:endParaRPr lang="en-US" sz="1100"/>
            </a:p>
          </xdr:txBody>
        </xdr:sp>
      </mc:Fallback>
    </mc:AlternateContent>
    <xdr:clientData/>
  </xdr:oneCellAnchor>
  <xdr:oneCellAnchor>
    <xdr:from>
      <xdr:col>2</xdr:col>
      <xdr:colOff>179418</xdr:colOff>
      <xdr:row>145</xdr:row>
      <xdr:rowOff>87918</xdr:rowOff>
    </xdr:from>
    <xdr:ext cx="2559036" cy="350224"/>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3B407FF7-7480-A9EF-1287-781491611371}"/>
                </a:ext>
              </a:extLst>
            </xdr:cNvPr>
            <xdr:cNvSpPr txBox="1"/>
          </xdr:nvSpPr>
          <xdr:spPr>
            <a:xfrm>
              <a:off x="13540773734" y="29737669"/>
              <a:ext cx="2559036" cy="3502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𝐻𝑖𝑠𝑡𝑜𝑟𝑖𝑐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m:t>
                        </m:r>
                      </m:num>
                      <m:den>
                        <m:r>
                          <a:rPr lang="en-US" sz="1100" b="0" i="1">
                            <a:latin typeface="Cambria Math" panose="02040503050406030204" pitchFamily="18" charset="0"/>
                          </a:rPr>
                          <m:t>11</m:t>
                        </m:r>
                      </m:den>
                    </m:f>
                    <m:r>
                      <a:rPr lang="en-US" sz="1100" b="0" i="1">
                        <a:latin typeface="Cambria Math" panose="02040503050406030204" pitchFamily="18" charset="0"/>
                      </a:rPr>
                      <m:t>=4.54%</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3B407FF7-7480-A9EF-1287-781491611371}"/>
                </a:ext>
              </a:extLst>
            </xdr:cNvPr>
            <xdr:cNvSpPr txBox="1"/>
          </xdr:nvSpPr>
          <xdr:spPr>
            <a:xfrm>
              <a:off x="13540773734" y="29737669"/>
              <a:ext cx="2559036" cy="3502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𝐷𝑌=(𝐷𝐼𝑉_𝐻𝑖𝑠𝑡𝑜𝑟𝑖𝑐)/𝑃_𝑆 =0.5/11=4.54%</a:t>
              </a:r>
              <a:endParaRPr lang="en-US" sz="1100"/>
            </a:p>
          </xdr:txBody>
        </xdr:sp>
      </mc:Fallback>
    </mc:AlternateContent>
    <xdr:clientData/>
  </xdr:oneCellAnchor>
  <xdr:oneCellAnchor>
    <xdr:from>
      <xdr:col>8</xdr:col>
      <xdr:colOff>38698</xdr:colOff>
      <xdr:row>137</xdr:row>
      <xdr:rowOff>130165</xdr:rowOff>
    </xdr:from>
    <xdr:ext cx="897091" cy="1388211"/>
    <xdr:pic>
      <xdr:nvPicPr>
        <xdr:cNvPr id="86" name="Picture 85" descr="Happy cute smiling funny egg. flat cartoon character ...">
          <a:extLst>
            <a:ext uri="{FF2B5EF4-FFF2-40B4-BE49-F238E27FC236}">
              <a16:creationId xmlns:a16="http://schemas.microsoft.com/office/drawing/2014/main" id="{9DFD8170-059D-8248-B20D-150EE1459DF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37616011" y="28147561"/>
          <a:ext cx="897091" cy="13882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7</xdr:col>
      <xdr:colOff>605097</xdr:colOff>
      <xdr:row>145</xdr:row>
      <xdr:rowOff>140720</xdr:rowOff>
    </xdr:from>
    <xdr:to>
      <xdr:col>9</xdr:col>
      <xdr:colOff>700083</xdr:colOff>
      <xdr:row>154</xdr:row>
      <xdr:rowOff>87950</xdr:rowOff>
    </xdr:to>
    <xdr:sp macro="" textlink="">
      <xdr:nvSpPr>
        <xdr:cNvPr id="87" name="Rectangular Callout 86">
          <a:extLst>
            <a:ext uri="{FF2B5EF4-FFF2-40B4-BE49-F238E27FC236}">
              <a16:creationId xmlns:a16="http://schemas.microsoft.com/office/drawing/2014/main" id="{716A36A7-AB34-976E-4067-B15533B7F193}"/>
            </a:ext>
          </a:extLst>
        </xdr:cNvPr>
        <xdr:cNvSpPr/>
      </xdr:nvSpPr>
      <xdr:spPr>
        <a:xfrm>
          <a:off x="13537024986" y="29790471"/>
          <a:ext cx="1748449" cy="1783629"/>
        </a:xfrm>
        <a:prstGeom prst="wedgeRectCallout">
          <a:avLst>
            <a:gd name="adj1" fmla="val 9348"/>
            <a:gd name="adj2" fmla="val -6116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ככלל,</a:t>
          </a:r>
          <a:r>
            <a:rPr lang="he-IL" sz="1100" baseline="0"/>
            <a:t> לצרכים של הערכת נאותות ההשקעה, נרצה לחשב תשואת דיבידנד בהתאם </a:t>
          </a:r>
          <a:r>
            <a:rPr lang="he-IL" sz="1100" u="sng" baseline="0"/>
            <a:t>לדיבידנד הצפוי </a:t>
          </a:r>
          <a:r>
            <a:rPr lang="he-IL" sz="1100" baseline="0"/>
            <a:t>ומחיר המניה היום;</a:t>
          </a:r>
        </a:p>
        <a:p>
          <a:pPr algn="r" rtl="1"/>
          <a:r>
            <a:rPr lang="he-IL" sz="1100" baseline="0"/>
            <a:t>אך בהיעדר מידע בדבר הדיבידנד הצפוי נוכל להשתמש </a:t>
          </a:r>
          <a:r>
            <a:rPr lang="he-IL" sz="1100" u="sng" baseline="0"/>
            <a:t>כקירוב בסכום הדיבידנד ההיסטורי</a:t>
          </a:r>
          <a:endParaRPr lang="en-US" sz="1100" u="sng"/>
        </a:p>
      </xdr:txBody>
    </xdr:sp>
    <xdr:clientData/>
  </xdr:twoCellAnchor>
  <xdr:oneCellAnchor>
    <xdr:from>
      <xdr:col>3</xdr:col>
      <xdr:colOff>154793</xdr:colOff>
      <xdr:row>159</xdr:row>
      <xdr:rowOff>91609</xdr:rowOff>
    </xdr:from>
    <xdr:ext cx="1757591" cy="31579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F2C0E9DF-F9D4-2C88-E591-4A5E3FBA6DF7}"/>
                </a:ext>
              </a:extLst>
            </xdr:cNvPr>
            <xdr:cNvSpPr txBox="1"/>
          </xdr:nvSpPr>
          <xdr:spPr>
            <a:xfrm>
              <a:off x="13540773073" y="32619088"/>
              <a:ext cx="175759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88" name="TextBox 87">
              <a:extLst>
                <a:ext uri="{FF2B5EF4-FFF2-40B4-BE49-F238E27FC236}">
                  <a16:creationId xmlns:a16="http://schemas.microsoft.com/office/drawing/2014/main" id="{F2C0E9DF-F9D4-2C88-E591-4A5E3FBA6DF7}"/>
                </a:ext>
              </a:extLst>
            </xdr:cNvPr>
            <xdr:cNvSpPr txBox="1"/>
          </xdr:nvSpPr>
          <xdr:spPr>
            <a:xfrm>
              <a:off x="13540773073" y="32619088"/>
              <a:ext cx="175759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twoCellAnchor>
    <xdr:from>
      <xdr:col>6</xdr:col>
      <xdr:colOff>730249</xdr:colOff>
      <xdr:row>318</xdr:row>
      <xdr:rowOff>171449</xdr:rowOff>
    </xdr:from>
    <xdr:to>
      <xdr:col>8</xdr:col>
      <xdr:colOff>536575</xdr:colOff>
      <xdr:row>325</xdr:row>
      <xdr:rowOff>53974</xdr:rowOff>
    </xdr:to>
    <xdr:sp macro="" textlink="">
      <xdr:nvSpPr>
        <xdr:cNvPr id="94" name="Cloud 93">
          <a:extLst>
            <a:ext uri="{FF2B5EF4-FFF2-40B4-BE49-F238E27FC236}">
              <a16:creationId xmlns:a16="http://schemas.microsoft.com/office/drawing/2014/main" id="{01A2A23C-1923-BEB6-C467-5B98ACD32F7A}"/>
            </a:ext>
          </a:extLst>
        </xdr:cNvPr>
        <xdr:cNvSpPr/>
      </xdr:nvSpPr>
      <xdr:spPr>
        <a:xfrm>
          <a:off x="13517851425" y="65043049"/>
          <a:ext cx="1457326" cy="1304925"/>
        </a:xfrm>
        <a:prstGeom prst="cloud">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g=3%</a:t>
          </a:r>
        </a:p>
        <a:p>
          <a:pPr algn="ctr" rtl="1"/>
          <a:r>
            <a:rPr lang="en-US" sz="1100"/>
            <a:t>Ps=40</a:t>
          </a:r>
        </a:p>
        <a:p>
          <a:pPr algn="ctr" rtl="1"/>
          <a:r>
            <a:rPr lang="en-US" sz="1100"/>
            <a:t>DivHistory=2</a:t>
          </a:r>
        </a:p>
        <a:p>
          <a:pPr algn="ctr" rtl="1"/>
          <a:r>
            <a:rPr lang="en-US" sz="1100"/>
            <a:t>r=?</a:t>
          </a:r>
        </a:p>
      </xdr:txBody>
    </xdr:sp>
    <xdr:clientData/>
  </xdr:twoCellAnchor>
  <xdr:twoCellAnchor>
    <xdr:from>
      <xdr:col>0</xdr:col>
      <xdr:colOff>501650</xdr:colOff>
      <xdr:row>333</xdr:row>
      <xdr:rowOff>9525</xdr:rowOff>
    </xdr:from>
    <xdr:to>
      <xdr:col>6</xdr:col>
      <xdr:colOff>587375</xdr:colOff>
      <xdr:row>333</xdr:row>
      <xdr:rowOff>19050</xdr:rowOff>
    </xdr:to>
    <xdr:cxnSp macro="">
      <xdr:nvCxnSpPr>
        <xdr:cNvPr id="97" name="Straight Arrow Connector 96">
          <a:extLst>
            <a:ext uri="{FF2B5EF4-FFF2-40B4-BE49-F238E27FC236}">
              <a16:creationId xmlns:a16="http://schemas.microsoft.com/office/drawing/2014/main" id="{EE201950-B766-B2BB-A19E-822264F8D611}"/>
            </a:ext>
          </a:extLst>
        </xdr:cNvPr>
        <xdr:cNvCxnSpPr/>
      </xdr:nvCxnSpPr>
      <xdr:spPr>
        <a:xfrm>
          <a:off x="13519451625" y="67725925"/>
          <a:ext cx="5203825" cy="952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263525</xdr:colOff>
      <xdr:row>333</xdr:row>
      <xdr:rowOff>47625</xdr:rowOff>
    </xdr:from>
    <xdr:to>
      <xdr:col>5</xdr:col>
      <xdr:colOff>558800</xdr:colOff>
      <xdr:row>333</xdr:row>
      <xdr:rowOff>184150</xdr:rowOff>
    </xdr:to>
    <xdr:cxnSp macro="">
      <xdr:nvCxnSpPr>
        <xdr:cNvPr id="104" name="Straight Connector 103">
          <a:extLst>
            <a:ext uri="{FF2B5EF4-FFF2-40B4-BE49-F238E27FC236}">
              <a16:creationId xmlns:a16="http://schemas.microsoft.com/office/drawing/2014/main" id="{66DFD169-CB30-E39E-1D97-6F0B8BAA566E}"/>
            </a:ext>
          </a:extLst>
        </xdr:cNvPr>
        <xdr:cNvCxnSpPr/>
      </xdr:nvCxnSpPr>
      <xdr:spPr>
        <a:xfrm>
          <a:off x="13520305700" y="67764025"/>
          <a:ext cx="295275" cy="13652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412750</xdr:colOff>
      <xdr:row>331</xdr:row>
      <xdr:rowOff>25400</xdr:rowOff>
    </xdr:from>
    <xdr:to>
      <xdr:col>5</xdr:col>
      <xdr:colOff>412750</xdr:colOff>
      <xdr:row>332</xdr:row>
      <xdr:rowOff>15875</xdr:rowOff>
    </xdr:to>
    <xdr:cxnSp macro="">
      <xdr:nvCxnSpPr>
        <xdr:cNvPr id="108" name="Straight Connector 107">
          <a:extLst>
            <a:ext uri="{FF2B5EF4-FFF2-40B4-BE49-F238E27FC236}">
              <a16:creationId xmlns:a16="http://schemas.microsoft.com/office/drawing/2014/main" id="{7A73CEA4-9F9C-0EAC-993B-9254573FE618}"/>
            </a:ext>
          </a:extLst>
        </xdr:cNvPr>
        <xdr:cNvCxnSpPr/>
      </xdr:nvCxnSpPr>
      <xdr:spPr>
        <a:xfrm flipV="1">
          <a:off x="13520451750" y="67335400"/>
          <a:ext cx="0" cy="1936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331</xdr:row>
      <xdr:rowOff>6350</xdr:rowOff>
    </xdr:from>
    <xdr:to>
      <xdr:col>5</xdr:col>
      <xdr:colOff>412750</xdr:colOff>
      <xdr:row>331</xdr:row>
      <xdr:rowOff>19050</xdr:rowOff>
    </xdr:to>
    <xdr:cxnSp macro="">
      <xdr:nvCxnSpPr>
        <xdr:cNvPr id="114" name="Straight Connector 113">
          <a:extLst>
            <a:ext uri="{FF2B5EF4-FFF2-40B4-BE49-F238E27FC236}">
              <a16:creationId xmlns:a16="http://schemas.microsoft.com/office/drawing/2014/main" id="{FFC89FDF-6762-A871-C850-31B7082E19AC}"/>
            </a:ext>
          </a:extLst>
        </xdr:cNvPr>
        <xdr:cNvCxnSpPr/>
      </xdr:nvCxnSpPr>
      <xdr:spPr>
        <a:xfrm flipV="1">
          <a:off x="13520451750" y="67316350"/>
          <a:ext cx="1651000" cy="127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331</xdr:row>
      <xdr:rowOff>9525</xdr:rowOff>
    </xdr:from>
    <xdr:to>
      <xdr:col>3</xdr:col>
      <xdr:colOff>412750</xdr:colOff>
      <xdr:row>332</xdr:row>
      <xdr:rowOff>0</xdr:rowOff>
    </xdr:to>
    <xdr:cxnSp macro="">
      <xdr:nvCxnSpPr>
        <xdr:cNvPr id="121" name="Straight Connector 120">
          <a:extLst>
            <a:ext uri="{FF2B5EF4-FFF2-40B4-BE49-F238E27FC236}">
              <a16:creationId xmlns:a16="http://schemas.microsoft.com/office/drawing/2014/main" id="{9356C42B-D1A6-C1EE-C31A-898BECA13AAE}"/>
            </a:ext>
          </a:extLst>
        </xdr:cNvPr>
        <xdr:cNvCxnSpPr/>
      </xdr:nvCxnSpPr>
      <xdr:spPr>
        <a:xfrm flipV="1">
          <a:off x="13522102750" y="67319525"/>
          <a:ext cx="0" cy="1936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41275</xdr:colOff>
      <xdr:row>329</xdr:row>
      <xdr:rowOff>201612</xdr:rowOff>
    </xdr:from>
    <xdr:ext cx="234644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89CD15F7-E349-9C76-AD2D-4EF5205BAE5E}"/>
                </a:ext>
              </a:extLst>
            </xdr:cNvPr>
            <xdr:cNvSpPr txBox="1"/>
          </xdr:nvSpPr>
          <xdr:spPr>
            <a:xfrm>
              <a:off x="13520127781" y="67308412"/>
              <a:ext cx="23464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=2∗(1+3%)</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89CD15F7-E349-9C76-AD2D-4EF5205BAE5E}"/>
                </a:ext>
              </a:extLst>
            </xdr:cNvPr>
            <xdr:cNvSpPr txBox="1"/>
          </xdr:nvSpPr>
          <xdr:spPr>
            <a:xfrm>
              <a:off x="13520127781" y="67308412"/>
              <a:ext cx="23464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𝐷𝑖𝑣_1=𝐷𝑖𝑣_0∗(1+𝑔)=2∗(1+3%)</a:t>
              </a:r>
              <a:endParaRPr lang="en-US" sz="1100"/>
            </a:p>
          </xdr:txBody>
        </xdr:sp>
      </mc:Fallback>
    </mc:AlternateContent>
    <xdr:clientData/>
  </xdr:oneCellAnchor>
  <xdr:twoCellAnchor>
    <xdr:from>
      <xdr:col>0</xdr:col>
      <xdr:colOff>546100</xdr:colOff>
      <xdr:row>334</xdr:row>
      <xdr:rowOff>36513</xdr:rowOff>
    </xdr:from>
    <xdr:to>
      <xdr:col>3</xdr:col>
      <xdr:colOff>401636</xdr:colOff>
      <xdr:row>335</xdr:row>
      <xdr:rowOff>60325</xdr:rowOff>
    </xdr:to>
    <xdr:sp macro="" textlink="">
      <xdr:nvSpPr>
        <xdr:cNvPr id="127" name="Left Brace 126">
          <a:extLst>
            <a:ext uri="{FF2B5EF4-FFF2-40B4-BE49-F238E27FC236}">
              <a16:creationId xmlns:a16="http://schemas.microsoft.com/office/drawing/2014/main" id="{701BC2DF-E254-79AD-2B21-5ACEA99E2AAC}"/>
            </a:ext>
          </a:extLst>
        </xdr:cNvPr>
        <xdr:cNvSpPr/>
      </xdr:nvSpPr>
      <xdr:spPr>
        <a:xfrm rot="16200000">
          <a:off x="13523248926" y="67024251"/>
          <a:ext cx="227012" cy="249713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412750</xdr:colOff>
      <xdr:row>334</xdr:row>
      <xdr:rowOff>177800</xdr:rowOff>
    </xdr:from>
    <xdr:to>
      <xdr:col>3</xdr:col>
      <xdr:colOff>412750</xdr:colOff>
      <xdr:row>337</xdr:row>
      <xdr:rowOff>114300</xdr:rowOff>
    </xdr:to>
    <xdr:cxnSp macro="">
      <xdr:nvCxnSpPr>
        <xdr:cNvPr id="129" name="Straight Connector 128">
          <a:extLst>
            <a:ext uri="{FF2B5EF4-FFF2-40B4-BE49-F238E27FC236}">
              <a16:creationId xmlns:a16="http://schemas.microsoft.com/office/drawing/2014/main" id="{47F7BEC6-02E5-75D2-ACA5-AB6CED14BFF6}"/>
            </a:ext>
          </a:extLst>
        </xdr:cNvPr>
        <xdr:cNvCxnSpPr/>
      </xdr:nvCxnSpPr>
      <xdr:spPr>
        <a:xfrm>
          <a:off x="13522102750" y="68300600"/>
          <a:ext cx="0" cy="5461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396875</xdr:colOff>
      <xdr:row>335</xdr:row>
      <xdr:rowOff>165100</xdr:rowOff>
    </xdr:from>
    <xdr:to>
      <xdr:col>5</xdr:col>
      <xdr:colOff>400050</xdr:colOff>
      <xdr:row>337</xdr:row>
      <xdr:rowOff>111125</xdr:rowOff>
    </xdr:to>
    <xdr:cxnSp macro="">
      <xdr:nvCxnSpPr>
        <xdr:cNvPr id="130" name="Straight Connector 129">
          <a:extLst>
            <a:ext uri="{FF2B5EF4-FFF2-40B4-BE49-F238E27FC236}">
              <a16:creationId xmlns:a16="http://schemas.microsoft.com/office/drawing/2014/main" id="{17F25831-8EB7-909F-35E3-1BC6205622D0}"/>
            </a:ext>
          </a:extLst>
        </xdr:cNvPr>
        <xdr:cNvCxnSpPr/>
      </xdr:nvCxnSpPr>
      <xdr:spPr>
        <a:xfrm flipH="1" flipV="1">
          <a:off x="13520464450" y="68491100"/>
          <a:ext cx="3175" cy="352425"/>
        </a:xfrm>
        <a:prstGeom prst="line">
          <a:avLst/>
        </a:prstGeom>
        <a:ln>
          <a:headEnd type="none" w="med" len="med"/>
          <a:tailEnd type="arrow"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409575</xdr:colOff>
      <xdr:row>337</xdr:row>
      <xdr:rowOff>117475</xdr:rowOff>
    </xdr:from>
    <xdr:to>
      <xdr:col>5</xdr:col>
      <xdr:colOff>409575</xdr:colOff>
      <xdr:row>337</xdr:row>
      <xdr:rowOff>117475</xdr:rowOff>
    </xdr:to>
    <xdr:cxnSp macro="">
      <xdr:nvCxnSpPr>
        <xdr:cNvPr id="133" name="Straight Connector 132">
          <a:extLst>
            <a:ext uri="{FF2B5EF4-FFF2-40B4-BE49-F238E27FC236}">
              <a16:creationId xmlns:a16="http://schemas.microsoft.com/office/drawing/2014/main" id="{3057C3D6-3B91-EC22-7100-FC044AF0EA95}"/>
            </a:ext>
          </a:extLst>
        </xdr:cNvPr>
        <xdr:cNvCxnSpPr/>
      </xdr:nvCxnSpPr>
      <xdr:spPr>
        <a:xfrm flipH="1">
          <a:off x="13520454925" y="68849875"/>
          <a:ext cx="1651000" cy="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158750</xdr:colOff>
      <xdr:row>337</xdr:row>
      <xdr:rowOff>166687</xdr:rowOff>
    </xdr:from>
    <xdr:ext cx="2346444" cy="324641"/>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C691F5A6-347A-D1C7-EABD-9DC299868A17}"/>
                </a:ext>
              </a:extLst>
            </xdr:cNvPr>
            <xdr:cNvSpPr txBox="1"/>
          </xdr:nvSpPr>
          <xdr:spPr>
            <a:xfrm>
              <a:off x="13520010306" y="68899087"/>
              <a:ext cx="234644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f>
                      <m:fPr>
                        <m:ctrlPr>
                          <a:rPr lang="en-US" sz="1100" b="0" i="1">
                            <a:latin typeface="Cambria Math" panose="02040503050406030204" pitchFamily="18" charset="0"/>
                          </a:rPr>
                        </m:ctrlPr>
                      </m:fPr>
                      <m:num>
                        <m:r>
                          <a:rPr lang="en-US" sz="1100" b="0" i="1">
                            <a:latin typeface="Cambria Math" panose="02040503050406030204" pitchFamily="18" charset="0"/>
                          </a:rPr>
                          <m:t>2.06</m:t>
                        </m:r>
                      </m:num>
                      <m:den>
                        <m:r>
                          <a:rPr lang="en-US" sz="1100" b="0" i="1">
                            <a:latin typeface="Cambria Math" panose="02040503050406030204" pitchFamily="18" charset="0"/>
                          </a:rPr>
                          <m:t>𝑟</m:t>
                        </m:r>
                        <m:r>
                          <a:rPr lang="en-US" sz="1100" b="0" i="1">
                            <a:latin typeface="Cambria Math" panose="02040503050406030204" pitchFamily="18" charset="0"/>
                          </a:rPr>
                          <m:t>−3%</m:t>
                        </m:r>
                      </m:den>
                    </m:f>
                  </m:oMath>
                </m:oMathPara>
              </a14:m>
              <a:endParaRPr lang="en-US" sz="1100"/>
            </a:p>
          </xdr:txBody>
        </xdr:sp>
      </mc:Choice>
      <mc:Fallback xmlns="">
        <xdr:sp macro="" textlink="">
          <xdr:nvSpPr>
            <xdr:cNvPr id="164" name="TextBox 163">
              <a:extLst>
                <a:ext uri="{FF2B5EF4-FFF2-40B4-BE49-F238E27FC236}">
                  <a16:creationId xmlns:a16="http://schemas.microsoft.com/office/drawing/2014/main" id="{C691F5A6-347A-D1C7-EABD-9DC299868A17}"/>
                </a:ext>
              </a:extLst>
            </xdr:cNvPr>
            <xdr:cNvSpPr txBox="1"/>
          </xdr:nvSpPr>
          <xdr:spPr>
            <a:xfrm>
              <a:off x="13520010306" y="68899087"/>
              <a:ext cx="2346444"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40=2.06/(𝑟−3%)</a:t>
              </a:r>
              <a:endParaRPr lang="en-US" sz="1100"/>
            </a:p>
          </xdr:txBody>
        </xdr:sp>
      </mc:Fallback>
    </mc:AlternateContent>
    <xdr:clientData/>
  </xdr:oneCellAnchor>
  <xdr:twoCellAnchor>
    <xdr:from>
      <xdr:col>6</xdr:col>
      <xdr:colOff>730884</xdr:colOff>
      <xdr:row>367</xdr:row>
      <xdr:rowOff>177293</xdr:rowOff>
    </xdr:from>
    <xdr:to>
      <xdr:col>7</xdr:col>
      <xdr:colOff>206239</xdr:colOff>
      <xdr:row>369</xdr:row>
      <xdr:rowOff>90456</xdr:rowOff>
    </xdr:to>
    <xdr:sp macro="" textlink="">
      <xdr:nvSpPr>
        <xdr:cNvPr id="165" name="Oval 164">
          <a:extLst>
            <a:ext uri="{FF2B5EF4-FFF2-40B4-BE49-F238E27FC236}">
              <a16:creationId xmlns:a16="http://schemas.microsoft.com/office/drawing/2014/main" id="{319BA502-0B5C-5470-B896-B71E2903ABE6}"/>
            </a:ext>
          </a:extLst>
        </xdr:cNvPr>
        <xdr:cNvSpPr/>
      </xdr:nvSpPr>
      <xdr:spPr>
        <a:xfrm>
          <a:off x="13510118889" y="74828689"/>
          <a:ext cx="300313" cy="3184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162259</xdr:colOff>
      <xdr:row>367</xdr:row>
      <xdr:rowOff>170057</xdr:rowOff>
    </xdr:from>
    <xdr:to>
      <xdr:col>7</xdr:col>
      <xdr:colOff>274986</xdr:colOff>
      <xdr:row>368</xdr:row>
      <xdr:rowOff>21301</xdr:rowOff>
    </xdr:to>
    <xdr:cxnSp macro="">
      <xdr:nvCxnSpPr>
        <xdr:cNvPr id="167" name="Straight Connector 166">
          <a:extLst>
            <a:ext uri="{FF2B5EF4-FFF2-40B4-BE49-F238E27FC236}">
              <a16:creationId xmlns:a16="http://schemas.microsoft.com/office/drawing/2014/main" id="{22226DFE-D10D-AE02-1293-4CC30E3B26B6}"/>
            </a:ext>
          </a:extLst>
        </xdr:cNvPr>
        <xdr:cNvCxnSpPr>
          <a:stCxn id="165" idx="1"/>
        </xdr:cNvCxnSpPr>
      </xdr:nvCxnSpPr>
      <xdr:spPr>
        <a:xfrm flipH="1" flipV="1">
          <a:off x="13510050142" y="74821453"/>
          <a:ext cx="112727" cy="5386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220713</xdr:colOff>
      <xdr:row>369</xdr:row>
      <xdr:rowOff>7237</xdr:rowOff>
    </xdr:from>
    <xdr:to>
      <xdr:col>6</xdr:col>
      <xdr:colOff>741739</xdr:colOff>
      <xdr:row>370</xdr:row>
      <xdr:rowOff>68747</xdr:rowOff>
    </xdr:to>
    <xdr:cxnSp macro="">
      <xdr:nvCxnSpPr>
        <xdr:cNvPr id="168" name="Straight Connector 167">
          <a:extLst>
            <a:ext uri="{FF2B5EF4-FFF2-40B4-BE49-F238E27FC236}">
              <a16:creationId xmlns:a16="http://schemas.microsoft.com/office/drawing/2014/main" id="{74D58251-BBA4-3CAC-CDA5-D0B01441822B}"/>
            </a:ext>
          </a:extLst>
        </xdr:cNvPr>
        <xdr:cNvCxnSpPr/>
      </xdr:nvCxnSpPr>
      <xdr:spPr>
        <a:xfrm flipH="1" flipV="1">
          <a:off x="13510408347" y="75063875"/>
          <a:ext cx="521026" cy="26413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358205</xdr:colOff>
      <xdr:row>366</xdr:row>
      <xdr:rowOff>57892</xdr:rowOff>
    </xdr:from>
    <xdr:to>
      <xdr:col>9</xdr:col>
      <xdr:colOff>488462</xdr:colOff>
      <xdr:row>367</xdr:row>
      <xdr:rowOff>130256</xdr:rowOff>
    </xdr:to>
    <xdr:sp macro="" textlink="">
      <xdr:nvSpPr>
        <xdr:cNvPr id="171" name="Down Arrow 170">
          <a:extLst>
            <a:ext uri="{FF2B5EF4-FFF2-40B4-BE49-F238E27FC236}">
              <a16:creationId xmlns:a16="http://schemas.microsoft.com/office/drawing/2014/main" id="{7B5423DD-EA51-889A-3CB2-504F3654D26A}"/>
            </a:ext>
          </a:extLst>
        </xdr:cNvPr>
        <xdr:cNvSpPr/>
      </xdr:nvSpPr>
      <xdr:spPr>
        <a:xfrm>
          <a:off x="13508186752" y="74506667"/>
          <a:ext cx="130257" cy="27498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593725</xdr:colOff>
      <xdr:row>420</xdr:row>
      <xdr:rowOff>127000</xdr:rowOff>
    </xdr:from>
    <xdr:to>
      <xdr:col>7</xdr:col>
      <xdr:colOff>38100</xdr:colOff>
      <xdr:row>420</xdr:row>
      <xdr:rowOff>130175</xdr:rowOff>
    </xdr:to>
    <xdr:cxnSp macro="">
      <xdr:nvCxnSpPr>
        <xdr:cNvPr id="173" name="Straight Arrow Connector 172">
          <a:extLst>
            <a:ext uri="{FF2B5EF4-FFF2-40B4-BE49-F238E27FC236}">
              <a16:creationId xmlns:a16="http://schemas.microsoft.com/office/drawing/2014/main" id="{AF9B2EBC-4215-B739-47BE-3FD8E89DDEFF}"/>
            </a:ext>
          </a:extLst>
        </xdr:cNvPr>
        <xdr:cNvCxnSpPr/>
      </xdr:nvCxnSpPr>
      <xdr:spPr>
        <a:xfrm flipV="1">
          <a:off x="13519175400" y="85725000"/>
          <a:ext cx="5387975" cy="31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644522</xdr:colOff>
      <xdr:row>422</xdr:row>
      <xdr:rowOff>20637</xdr:rowOff>
    </xdr:from>
    <xdr:to>
      <xdr:col>2</xdr:col>
      <xdr:colOff>398461</xdr:colOff>
      <xdr:row>422</xdr:row>
      <xdr:rowOff>200024</xdr:rowOff>
    </xdr:to>
    <xdr:sp macro="" textlink="">
      <xdr:nvSpPr>
        <xdr:cNvPr id="174" name="Left Brace 173">
          <a:extLst>
            <a:ext uri="{FF2B5EF4-FFF2-40B4-BE49-F238E27FC236}">
              <a16:creationId xmlns:a16="http://schemas.microsoft.com/office/drawing/2014/main" id="{27AF52F5-7DC0-F4DB-4C15-7703C7398CD5}"/>
            </a:ext>
          </a:extLst>
        </xdr:cNvPr>
        <xdr:cNvSpPr/>
      </xdr:nvSpPr>
      <xdr:spPr>
        <a:xfrm rot="16200000">
          <a:off x="13523637865" y="85329711"/>
          <a:ext cx="179387" cy="1570039"/>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398461</xdr:colOff>
      <xdr:row>422</xdr:row>
      <xdr:rowOff>20637</xdr:rowOff>
    </xdr:from>
    <xdr:to>
      <xdr:col>2</xdr:col>
      <xdr:colOff>400050</xdr:colOff>
      <xdr:row>425</xdr:row>
      <xdr:rowOff>22225</xdr:rowOff>
    </xdr:to>
    <xdr:cxnSp macro="">
      <xdr:nvCxnSpPr>
        <xdr:cNvPr id="176" name="Straight Connector 175">
          <a:extLst>
            <a:ext uri="{FF2B5EF4-FFF2-40B4-BE49-F238E27FC236}">
              <a16:creationId xmlns:a16="http://schemas.microsoft.com/office/drawing/2014/main" id="{8A25DF96-3F8A-4D62-AEA7-88F89C323F8A}"/>
            </a:ext>
          </a:extLst>
        </xdr:cNvPr>
        <xdr:cNvCxnSpPr>
          <a:stCxn id="174" idx="0"/>
        </xdr:cNvCxnSpPr>
      </xdr:nvCxnSpPr>
      <xdr:spPr>
        <a:xfrm flipH="1">
          <a:off x="13522940950" y="86025037"/>
          <a:ext cx="1589" cy="6111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342900</xdr:colOff>
      <xdr:row>423</xdr:row>
      <xdr:rowOff>39687</xdr:rowOff>
    </xdr:from>
    <xdr:to>
      <xdr:col>3</xdr:col>
      <xdr:colOff>350836</xdr:colOff>
      <xdr:row>425</xdr:row>
      <xdr:rowOff>22225</xdr:rowOff>
    </xdr:to>
    <xdr:cxnSp macro="">
      <xdr:nvCxnSpPr>
        <xdr:cNvPr id="177" name="Straight Connector 176">
          <a:extLst>
            <a:ext uri="{FF2B5EF4-FFF2-40B4-BE49-F238E27FC236}">
              <a16:creationId xmlns:a16="http://schemas.microsoft.com/office/drawing/2014/main" id="{6FB614FE-6DA4-1C66-3295-5A87FFB96355}"/>
            </a:ext>
          </a:extLst>
        </xdr:cNvPr>
        <xdr:cNvCxnSpPr/>
      </xdr:nvCxnSpPr>
      <xdr:spPr>
        <a:xfrm>
          <a:off x="13522164664" y="86247287"/>
          <a:ext cx="7936" cy="3889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412750</xdr:colOff>
      <xdr:row>425</xdr:row>
      <xdr:rowOff>22225</xdr:rowOff>
    </xdr:from>
    <xdr:to>
      <xdr:col>3</xdr:col>
      <xdr:colOff>342900</xdr:colOff>
      <xdr:row>425</xdr:row>
      <xdr:rowOff>25400</xdr:rowOff>
    </xdr:to>
    <xdr:cxnSp macro="">
      <xdr:nvCxnSpPr>
        <xdr:cNvPr id="179" name="Straight Connector 178">
          <a:extLst>
            <a:ext uri="{FF2B5EF4-FFF2-40B4-BE49-F238E27FC236}">
              <a16:creationId xmlns:a16="http://schemas.microsoft.com/office/drawing/2014/main" id="{67351A37-5EC9-EDB0-E279-245D52C2B9DE}"/>
            </a:ext>
          </a:extLst>
        </xdr:cNvPr>
        <xdr:cNvCxnSpPr/>
      </xdr:nvCxnSpPr>
      <xdr:spPr>
        <a:xfrm flipH="1">
          <a:off x="13522172600" y="86636225"/>
          <a:ext cx="755650" cy="31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177800</xdr:colOff>
      <xdr:row>425</xdr:row>
      <xdr:rowOff>87312</xdr:rowOff>
    </xdr:from>
    <xdr:ext cx="2587744" cy="35112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4CF78EB-8FA9-03D4-A409-970E9838A6FB}"/>
                </a:ext>
              </a:extLst>
            </xdr:cNvPr>
            <xdr:cNvSpPr txBox="1"/>
          </xdr:nvSpPr>
          <xdr:spPr>
            <a:xfrm>
              <a:off x="13521477156" y="86701312"/>
              <a:ext cx="2587744"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250</m:t>
                        </m:r>
                      </m:num>
                      <m:den>
                        <m:r>
                          <a:rPr lang="en-US" sz="1100" b="0" i="1">
                            <a:latin typeface="Cambria Math" panose="02040503050406030204" pitchFamily="18" charset="0"/>
                          </a:rPr>
                          <m:t>15%−5%</m:t>
                        </m:r>
                      </m:den>
                    </m:f>
                    <m:r>
                      <a:rPr lang="en-US" sz="1100" b="0" i="1">
                        <a:latin typeface="Cambria Math" panose="02040503050406030204" pitchFamily="18" charset="0"/>
                      </a:rPr>
                      <m:t>=2,500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4CF78EB-8FA9-03D4-A409-970E9838A6FB}"/>
                </a:ext>
              </a:extLst>
            </xdr:cNvPr>
            <xdr:cNvSpPr txBox="1"/>
          </xdr:nvSpPr>
          <xdr:spPr>
            <a:xfrm>
              <a:off x="13521477156" y="86701312"/>
              <a:ext cx="2587744"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𝑃_𝑆=𝐷𝑖𝑣/(𝑟−𝑔)=250/(15%−5%)=2,500</a:t>
              </a:r>
              <a:endParaRPr lang="en-US" sz="1100"/>
            </a:p>
          </xdr:txBody>
        </xdr:sp>
      </mc:Fallback>
    </mc:AlternateContent>
    <xdr:clientData/>
  </xdr:oneCellAnchor>
  <xdr:oneCellAnchor>
    <xdr:from>
      <xdr:col>4</xdr:col>
      <xdr:colOff>254473</xdr:colOff>
      <xdr:row>732</xdr:row>
      <xdr:rowOff>92332</xdr:rowOff>
    </xdr:from>
    <xdr:ext cx="386726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7DF734A2-A720-6947-A4CE-C79C9B0053B9}"/>
                </a:ext>
              </a:extLst>
            </xdr:cNvPr>
            <xdr:cNvSpPr txBox="1"/>
          </xdr:nvSpPr>
          <xdr:spPr>
            <a:xfrm>
              <a:off x="13517606359" y="13325732"/>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7DF734A2-A720-6947-A4CE-C79C9B0053B9}"/>
                </a:ext>
              </a:extLst>
            </xdr:cNvPr>
            <xdr:cNvSpPr txBox="1"/>
          </xdr:nvSpPr>
          <xdr:spPr>
            <a:xfrm>
              <a:off x="13517606359" y="13325732"/>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twoCellAnchor>
    <xdr:from>
      <xdr:col>3</xdr:col>
      <xdr:colOff>633270</xdr:colOff>
      <xdr:row>780</xdr:row>
      <xdr:rowOff>58828</xdr:rowOff>
    </xdr:from>
    <xdr:to>
      <xdr:col>3</xdr:col>
      <xdr:colOff>726703</xdr:colOff>
      <xdr:row>781</xdr:row>
      <xdr:rowOff>24223</xdr:rowOff>
    </xdr:to>
    <xdr:sp macro="" textlink="">
      <xdr:nvSpPr>
        <xdr:cNvPr id="122" name="Up Arrow 121">
          <a:extLst>
            <a:ext uri="{FF2B5EF4-FFF2-40B4-BE49-F238E27FC236}">
              <a16:creationId xmlns:a16="http://schemas.microsoft.com/office/drawing/2014/main" id="{5207CBFC-0155-0747-B242-F1F145FBC7EE}"/>
            </a:ext>
          </a:extLst>
        </xdr:cNvPr>
        <xdr:cNvSpPr/>
      </xdr:nvSpPr>
      <xdr:spPr>
        <a:xfrm>
          <a:off x="13521826897" y="23045828"/>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731668</xdr:colOff>
      <xdr:row>780</xdr:row>
      <xdr:rowOff>77770</xdr:rowOff>
    </xdr:from>
    <xdr:to>
      <xdr:col>2</xdr:col>
      <xdr:colOff>183970</xdr:colOff>
      <xdr:row>780</xdr:row>
      <xdr:rowOff>162536</xdr:rowOff>
    </xdr:to>
    <xdr:sp macro="" textlink="">
      <xdr:nvSpPr>
        <xdr:cNvPr id="128" name="Up Arrow 127">
          <a:extLst>
            <a:ext uri="{FF2B5EF4-FFF2-40B4-BE49-F238E27FC236}">
              <a16:creationId xmlns:a16="http://schemas.microsoft.com/office/drawing/2014/main" id="{04BB6C10-B72C-A34E-B6EA-43444538A5F4}"/>
            </a:ext>
          </a:extLst>
        </xdr:cNvPr>
        <xdr:cNvSpPr/>
      </xdr:nvSpPr>
      <xdr:spPr>
        <a:xfrm rot="2806278">
          <a:off x="13523329748" y="22968252"/>
          <a:ext cx="84766" cy="277802"/>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719782</xdr:colOff>
      <xdr:row>782</xdr:row>
      <xdr:rowOff>41525</xdr:rowOff>
    </xdr:from>
    <xdr:to>
      <xdr:col>3</xdr:col>
      <xdr:colOff>813215</xdr:colOff>
      <xdr:row>783</xdr:row>
      <xdr:rowOff>6920</xdr:rowOff>
    </xdr:to>
    <xdr:sp macro="" textlink="">
      <xdr:nvSpPr>
        <xdr:cNvPr id="146" name="Up Arrow 145">
          <a:extLst>
            <a:ext uri="{FF2B5EF4-FFF2-40B4-BE49-F238E27FC236}">
              <a16:creationId xmlns:a16="http://schemas.microsoft.com/office/drawing/2014/main" id="{E6F4793D-C246-7E45-AA73-0ACA60C6430D}"/>
            </a:ext>
          </a:extLst>
        </xdr:cNvPr>
        <xdr:cNvSpPr/>
      </xdr:nvSpPr>
      <xdr:spPr>
        <a:xfrm rot="10800000">
          <a:off x="13521740385" y="23434925"/>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785531</xdr:colOff>
      <xdr:row>782</xdr:row>
      <xdr:rowOff>34604</xdr:rowOff>
    </xdr:from>
    <xdr:to>
      <xdr:col>3</xdr:col>
      <xdr:colOff>13841</xdr:colOff>
      <xdr:row>782</xdr:row>
      <xdr:rowOff>204168</xdr:rowOff>
    </xdr:to>
    <xdr:sp macro="" textlink="">
      <xdr:nvSpPr>
        <xdr:cNvPr id="147" name="Up Arrow 146">
          <a:extLst>
            <a:ext uri="{FF2B5EF4-FFF2-40B4-BE49-F238E27FC236}">
              <a16:creationId xmlns:a16="http://schemas.microsoft.com/office/drawing/2014/main" id="{A7CB96E9-7883-E94B-B0D7-EE16F729F656}"/>
            </a:ext>
          </a:extLst>
        </xdr:cNvPr>
        <xdr:cNvSpPr/>
      </xdr:nvSpPr>
      <xdr:spPr>
        <a:xfrm rot="10800000">
          <a:off x="13522539759" y="23428004"/>
          <a:ext cx="91910" cy="169564"/>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619721</xdr:colOff>
      <xdr:row>787</xdr:row>
      <xdr:rowOff>203162</xdr:rowOff>
    </xdr:from>
    <xdr:to>
      <xdr:col>4</xdr:col>
      <xdr:colOff>713154</xdr:colOff>
      <xdr:row>788</xdr:row>
      <xdr:rowOff>168557</xdr:rowOff>
    </xdr:to>
    <xdr:sp macro="" textlink="">
      <xdr:nvSpPr>
        <xdr:cNvPr id="148" name="Up Arrow 147">
          <a:extLst>
            <a:ext uri="{FF2B5EF4-FFF2-40B4-BE49-F238E27FC236}">
              <a16:creationId xmlns:a16="http://schemas.microsoft.com/office/drawing/2014/main" id="{7864E7FD-E9BF-0749-8599-3585AAF7A089}"/>
            </a:ext>
          </a:extLst>
        </xdr:cNvPr>
        <xdr:cNvSpPr/>
      </xdr:nvSpPr>
      <xdr:spPr>
        <a:xfrm rot="10800000">
          <a:off x="13521014946" y="24612562"/>
          <a:ext cx="93433" cy="168595"/>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691328</xdr:colOff>
      <xdr:row>787</xdr:row>
      <xdr:rowOff>158452</xdr:rowOff>
    </xdr:from>
    <xdr:to>
      <xdr:col>3</xdr:col>
      <xdr:colOff>784761</xdr:colOff>
      <xdr:row>789</xdr:row>
      <xdr:rowOff>27681</xdr:rowOff>
    </xdr:to>
    <xdr:sp macro="" textlink="">
      <xdr:nvSpPr>
        <xdr:cNvPr id="149" name="Up Arrow 148">
          <a:extLst>
            <a:ext uri="{FF2B5EF4-FFF2-40B4-BE49-F238E27FC236}">
              <a16:creationId xmlns:a16="http://schemas.microsoft.com/office/drawing/2014/main" id="{37357C75-73A7-4A44-8837-83B50B4BAB55}"/>
            </a:ext>
          </a:extLst>
        </xdr:cNvPr>
        <xdr:cNvSpPr/>
      </xdr:nvSpPr>
      <xdr:spPr>
        <a:xfrm rot="8272723">
          <a:off x="13521768839" y="24567852"/>
          <a:ext cx="93433" cy="27562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303746</xdr:colOff>
      <xdr:row>788</xdr:row>
      <xdr:rowOff>112438</xdr:rowOff>
    </xdr:from>
    <xdr:to>
      <xdr:col>3</xdr:col>
      <xdr:colOff>278225</xdr:colOff>
      <xdr:row>789</xdr:row>
      <xdr:rowOff>1901</xdr:rowOff>
    </xdr:to>
    <xdr:sp macro="" textlink="">
      <xdr:nvSpPr>
        <xdr:cNvPr id="151" name="Up Arrow 150">
          <a:extLst>
            <a:ext uri="{FF2B5EF4-FFF2-40B4-BE49-F238E27FC236}">
              <a16:creationId xmlns:a16="http://schemas.microsoft.com/office/drawing/2014/main" id="{6AD0F53B-E2FF-3042-949C-CC9170A23956}"/>
            </a:ext>
          </a:extLst>
        </xdr:cNvPr>
        <xdr:cNvSpPr/>
      </xdr:nvSpPr>
      <xdr:spPr>
        <a:xfrm rot="6976557">
          <a:off x="13522648083" y="24352330"/>
          <a:ext cx="92663" cy="83807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226776</xdr:colOff>
      <xdr:row>788</xdr:row>
      <xdr:rowOff>123983</xdr:rowOff>
    </xdr:from>
    <xdr:to>
      <xdr:col>1</xdr:col>
      <xdr:colOff>235892</xdr:colOff>
      <xdr:row>789</xdr:row>
      <xdr:rowOff>13446</xdr:rowOff>
    </xdr:to>
    <xdr:sp macro="" textlink="">
      <xdr:nvSpPr>
        <xdr:cNvPr id="153" name="Up Arrow 152">
          <a:extLst>
            <a:ext uri="{FF2B5EF4-FFF2-40B4-BE49-F238E27FC236}">
              <a16:creationId xmlns:a16="http://schemas.microsoft.com/office/drawing/2014/main" id="{995024CD-9EC5-B04B-93B0-97EA037A4E20}"/>
            </a:ext>
          </a:extLst>
        </xdr:cNvPr>
        <xdr:cNvSpPr/>
      </xdr:nvSpPr>
      <xdr:spPr>
        <a:xfrm rot="6976557">
          <a:off x="13524377784" y="24365607"/>
          <a:ext cx="92663" cy="834616"/>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2</xdr:col>
      <xdr:colOff>393700</xdr:colOff>
      <xdr:row>411</xdr:row>
      <xdr:rowOff>38100</xdr:rowOff>
    </xdr:from>
    <xdr:ext cx="2260600" cy="346570"/>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04A571-56D3-7147-9833-D38489303518}"/>
                </a:ext>
              </a:extLst>
            </xdr:cNvPr>
            <xdr:cNvSpPr txBox="1"/>
          </xdr:nvSpPr>
          <xdr:spPr>
            <a:xfrm>
              <a:off x="13520686700" y="12387580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15%−5%</m:t>
                        </m:r>
                      </m:den>
                    </m:f>
                    <m:r>
                      <a:rPr lang="en-US" sz="1100" b="0" i="1">
                        <a:latin typeface="Cambria Math" panose="02040503050406030204" pitchFamily="18" charset="0"/>
                      </a:rPr>
                      <m:t>=30</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04A571-56D3-7147-9833-D38489303518}"/>
                </a:ext>
              </a:extLst>
            </xdr:cNvPr>
            <xdr:cNvSpPr txBox="1"/>
          </xdr:nvSpPr>
          <xdr:spPr>
            <a:xfrm>
              <a:off x="13520686700" y="123875800"/>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𝑃_𝑆=𝐷𝐼𝑉/(𝑟−𝑔)→3/(15%−5%)=30</a:t>
              </a:r>
              <a:endParaRPr lang="en-US" sz="1100"/>
            </a:p>
          </xdr:txBody>
        </xdr:sp>
      </mc:Fallback>
    </mc:AlternateContent>
    <xdr:clientData/>
  </xdr:oneCellAnchor>
  <xdr:oneCellAnchor>
    <xdr:from>
      <xdr:col>1</xdr:col>
      <xdr:colOff>395378</xdr:colOff>
      <xdr:row>445</xdr:row>
      <xdr:rowOff>37605</xdr:rowOff>
    </xdr:from>
    <xdr:ext cx="4194613" cy="497700"/>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EA82DF03-DD14-C444-A834-9E11AFBF32B0}"/>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𝑫𝑰𝑽</m:t>
                            </m:r>
                          </m:num>
                          <m:den>
                            <m:r>
                              <a:rPr lang="en-US" sz="1100" b="1" i="1">
                                <a:solidFill>
                                  <a:srgbClr val="FF0000"/>
                                </a:solidFill>
                                <a:latin typeface="Cambria Math" panose="02040503050406030204" pitchFamily="18" charset="0"/>
                              </a:rPr>
                              <m:t>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𝒈</m:t>
                            </m:r>
                          </m:den>
                        </m:f>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0.55</m:t>
                        </m:r>
                      </m:num>
                      <m:den>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𝟎</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𝟓𝟓</m:t>
                            </m:r>
                          </m:num>
                          <m:den>
                            <m:r>
                              <a:rPr lang="en-US" sz="1100" b="1" i="1">
                                <a:solidFill>
                                  <a:srgbClr val="FF0000"/>
                                </a:solidFill>
                                <a:latin typeface="Cambria Math" panose="02040503050406030204" pitchFamily="18" charset="0"/>
                              </a:rPr>
                              <m:t>𝟐𝟓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𝟏𝟎</m:t>
                            </m:r>
                            <m:r>
                              <a:rPr lang="en-US" sz="1100" b="1" i="1">
                                <a:solidFill>
                                  <a:srgbClr val="FF0000"/>
                                </a:solidFill>
                                <a:latin typeface="Cambria Math" panose="02040503050406030204" pitchFamily="18" charset="0"/>
                              </a:rPr>
                              <m:t>%</m:t>
                            </m:r>
                          </m:den>
                        </m:f>
                      </m:den>
                    </m:f>
                    <m:r>
                      <a:rPr lang="en-US" sz="1100" b="0" i="1">
                        <a:latin typeface="Cambria Math" panose="02040503050406030204" pitchFamily="18" charset="0"/>
                      </a:rPr>
                      <m:t>=0.15=15%</m:t>
                    </m:r>
                  </m:oMath>
                </m:oMathPara>
              </a14:m>
              <a:endParaRPr lang="en-US" sz="1100"/>
            </a:p>
          </xdr:txBody>
        </xdr:sp>
      </mc:Choice>
      <mc:Fallback xmlns="">
        <xdr:sp macro="" textlink="">
          <xdr:nvSpPr>
            <xdr:cNvPr id="4" name="TextBox 3">
              <a:extLst>
                <a:ext uri="{FF2B5EF4-FFF2-40B4-BE49-F238E27FC236}">
                  <a16:creationId xmlns:a16="http://schemas.microsoft.com/office/drawing/2014/main" id="{EA82DF03-DD14-C444-A834-9E11AFBF32B0}"/>
                </a:ext>
              </a:extLst>
            </xdr:cNvPr>
            <xdr:cNvSpPr txBox="1"/>
          </xdr:nvSpPr>
          <xdr:spPr>
            <a:xfrm>
              <a:off x="13519576509" y="53745905"/>
              <a:ext cx="4194613" cy="497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→0.55/(</a:t>
              </a:r>
              <a:r>
                <a:rPr lang="en-US" sz="1100" b="1" i="0">
                  <a:solidFill>
                    <a:srgbClr val="FF0000"/>
                  </a:solidFill>
                  <a:latin typeface="Cambria Math" panose="02040503050406030204" pitchFamily="18" charset="0"/>
                </a:rPr>
                <a:t>𝑫𝑰𝑽/(𝒓−𝒈)</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=0.55/(</a:t>
              </a:r>
              <a:r>
                <a:rPr lang="en-US" sz="1100" b="1" i="0">
                  <a:solidFill>
                    <a:srgbClr val="FF0000"/>
                  </a:solidFill>
                  <a:latin typeface="Cambria Math" panose="02040503050406030204" pitchFamily="18" charset="0"/>
                </a:rPr>
                <a:t>(𝟎.𝟓𝟓)/(𝟐𝟓%−𝟏𝟎%)</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=0.15=15%</a:t>
              </a:r>
              <a:endParaRPr lang="en-US" sz="1100"/>
            </a:p>
          </xdr:txBody>
        </xdr:sp>
      </mc:Fallback>
    </mc:AlternateContent>
    <xdr:clientData/>
  </xdr:oneCellAnchor>
  <xdr:oneCellAnchor>
    <xdr:from>
      <xdr:col>2</xdr:col>
      <xdr:colOff>476250</xdr:colOff>
      <xdr:row>477</xdr:row>
      <xdr:rowOff>31750</xdr:rowOff>
    </xdr:from>
    <xdr:ext cx="4194613" cy="172098"/>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70EA891B-2669-0E49-887A-24D0B0876EC3}"/>
                </a:ext>
              </a:extLst>
            </xdr:cNvPr>
            <xdr:cNvSpPr txBox="1"/>
          </xdr:nvSpPr>
          <xdr:spPr>
            <a:xfrm>
              <a:off x="13518670137" y="73469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∗(1+</m:t>
                    </m:r>
                    <m:r>
                      <a:rPr lang="en-US" sz="1100" b="0" i="1">
                        <a:latin typeface="Cambria Math" panose="02040503050406030204" pitchFamily="18" charset="0"/>
                      </a:rPr>
                      <m:t>𝑔</m:t>
                    </m:r>
                    <m:r>
                      <a:rPr lang="en-US" sz="1100" b="0" i="1">
                        <a:latin typeface="Cambria Math" panose="02040503050406030204" pitchFamily="18" charset="0"/>
                      </a:rPr>
                      <m:t>)</m:t>
                    </m:r>
                  </m:oMath>
                </m:oMathPara>
              </a14:m>
              <a:endParaRPr lang="en-US" sz="1100"/>
            </a:p>
          </xdr:txBody>
        </xdr:sp>
      </mc:Choice>
      <mc:Fallback xmlns="">
        <xdr:sp macro="" textlink="">
          <xdr:nvSpPr>
            <xdr:cNvPr id="5" name="TextBox 4">
              <a:extLst>
                <a:ext uri="{FF2B5EF4-FFF2-40B4-BE49-F238E27FC236}">
                  <a16:creationId xmlns:a16="http://schemas.microsoft.com/office/drawing/2014/main" id="{70EA891B-2669-0E49-887A-24D0B0876EC3}"/>
                </a:ext>
              </a:extLst>
            </xdr:cNvPr>
            <xdr:cNvSpPr txBox="1"/>
          </xdr:nvSpPr>
          <xdr:spPr>
            <a:xfrm>
              <a:off x="13518670137" y="73469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𝐷𝐼𝑉_1=𝐷𝐼𝑉_0∗(1+𝑔)</a:t>
              </a:r>
              <a:endParaRPr lang="en-US" sz="1100"/>
            </a:p>
          </xdr:txBody>
        </xdr:sp>
      </mc:Fallback>
    </mc:AlternateContent>
    <xdr:clientData/>
  </xdr:oneCellAnchor>
  <xdr:oneCellAnchor>
    <xdr:from>
      <xdr:col>3</xdr:col>
      <xdr:colOff>787400</xdr:colOff>
      <xdr:row>500</xdr:row>
      <xdr:rowOff>196850</xdr:rowOff>
    </xdr:from>
    <xdr:ext cx="2641718" cy="31579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D9E8DBB7-D313-0F47-9DE2-9B7066D02E83}"/>
                </a:ext>
              </a:extLst>
            </xdr:cNvPr>
            <xdr:cNvSpPr txBox="1"/>
          </xdr:nvSpPr>
          <xdr:spPr>
            <a:xfrm>
              <a:off x="13519086382" y="121856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D9E8DBB7-D313-0F47-9DE2-9B7066D02E83}"/>
                </a:ext>
              </a:extLst>
            </xdr:cNvPr>
            <xdr:cNvSpPr txBox="1"/>
          </xdr:nvSpPr>
          <xdr:spPr>
            <a:xfrm>
              <a:off x="13519086382" y="121856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oneCellAnchor>
    <xdr:from>
      <xdr:col>1</xdr:col>
      <xdr:colOff>711200</xdr:colOff>
      <xdr:row>510</xdr:row>
      <xdr:rowOff>69850</xdr:rowOff>
    </xdr:from>
    <xdr:ext cx="2216150" cy="34657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65276837-9595-254C-AF95-EBA0AFE73A0B}"/>
                </a:ext>
              </a:extLst>
            </xdr:cNvPr>
            <xdr:cNvSpPr txBox="1"/>
          </xdr:nvSpPr>
          <xdr:spPr>
            <a:xfrm>
              <a:off x="13521239150" y="14293850"/>
              <a:ext cx="22161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65276837-9595-254C-AF95-EBA0AFE73A0B}"/>
                </a:ext>
              </a:extLst>
            </xdr:cNvPr>
            <xdr:cNvSpPr txBox="1"/>
          </xdr:nvSpPr>
          <xdr:spPr>
            <a:xfrm>
              <a:off x="13521239150" y="14293850"/>
              <a:ext cx="22161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1</xdr:col>
      <xdr:colOff>279400</xdr:colOff>
      <xdr:row>523</xdr:row>
      <xdr:rowOff>184150</xdr:rowOff>
    </xdr:from>
    <xdr:ext cx="4842313" cy="345672"/>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BF512C2-810E-1647-AC48-A75BB1532AEC}"/>
                </a:ext>
              </a:extLst>
            </xdr:cNvPr>
            <xdr:cNvSpPr txBox="1"/>
          </xdr:nvSpPr>
          <xdr:spPr>
            <a:xfrm>
              <a:off x="13519044787" y="17049750"/>
              <a:ext cx="48423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2BF512C2-810E-1647-AC48-A75BB1532AEC}"/>
                </a:ext>
              </a:extLst>
            </xdr:cNvPr>
            <xdr:cNvSpPr txBox="1"/>
          </xdr:nvSpPr>
          <xdr:spPr>
            <a:xfrm>
              <a:off x="13519044787" y="17049750"/>
              <a:ext cx="48423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a:t>
              </a:r>
              <a:endParaRPr lang="en-US" sz="1100"/>
            </a:p>
          </xdr:txBody>
        </xdr:sp>
      </mc:Fallback>
    </mc:AlternateContent>
    <xdr:clientData/>
  </xdr:oneCellAnchor>
  <xdr:oneCellAnchor>
    <xdr:from>
      <xdr:col>2</xdr:col>
      <xdr:colOff>482600</xdr:colOff>
      <xdr:row>540</xdr:row>
      <xdr:rowOff>152400</xdr:rowOff>
    </xdr:from>
    <xdr:ext cx="2641718" cy="31579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AEB85BF-2A8E-8B49-AEAE-F5CA9125073D}"/>
                </a:ext>
              </a:extLst>
            </xdr:cNvPr>
            <xdr:cNvSpPr txBox="1"/>
          </xdr:nvSpPr>
          <xdr:spPr>
            <a:xfrm>
              <a:off x="13520216682" y="2047240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2AEB85BF-2A8E-8B49-AEAE-F5CA9125073D}"/>
                </a:ext>
              </a:extLst>
            </xdr:cNvPr>
            <xdr:cNvSpPr txBox="1"/>
          </xdr:nvSpPr>
          <xdr:spPr>
            <a:xfrm>
              <a:off x="13520216682" y="2047240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oneCellAnchor>
    <xdr:from>
      <xdr:col>3</xdr:col>
      <xdr:colOff>241300</xdr:colOff>
      <xdr:row>484</xdr:row>
      <xdr:rowOff>63500</xdr:rowOff>
    </xdr:from>
    <xdr:ext cx="3327518" cy="34567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F4D59248-D731-A44F-B473-D121EF50C019}"/>
                </a:ext>
              </a:extLst>
            </xdr:cNvPr>
            <xdr:cNvSpPr txBox="1"/>
          </xdr:nvSpPr>
          <xdr:spPr>
            <a:xfrm>
              <a:off x="13518946682" y="88011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F4D59248-D731-A44F-B473-D121EF50C019}"/>
                </a:ext>
              </a:extLst>
            </xdr:cNvPr>
            <xdr:cNvSpPr txBox="1"/>
          </xdr:nvSpPr>
          <xdr:spPr>
            <a:xfrm>
              <a:off x="13518946682" y="88011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a:t>
              </a:r>
              <a:r>
                <a:rPr lang="he-IL" sz="1100" b="0" i="0">
                  <a:latin typeface="Cambria Math" panose="02040503050406030204" pitchFamily="18" charset="0"/>
                </a:rPr>
                <a:t>_1</a:t>
              </a:r>
              <a:r>
                <a:rPr lang="en-US" sz="1100" b="0" i="0">
                  <a:latin typeface="Cambria Math" panose="02040503050406030204" pitchFamily="18" charset="0"/>
                </a:rPr>
                <a:t>)/𝑃_𝑆 </a:t>
              </a:r>
              <a:endParaRPr lang="en-US" sz="1100"/>
            </a:p>
          </xdr:txBody>
        </xdr:sp>
      </mc:Fallback>
    </mc:AlternateContent>
    <xdr:clientData/>
  </xdr:oneCellAnchor>
  <xdr:oneCellAnchor>
    <xdr:from>
      <xdr:col>1</xdr:col>
      <xdr:colOff>816413</xdr:colOff>
      <xdr:row>463</xdr:row>
      <xdr:rowOff>177800</xdr:rowOff>
    </xdr:from>
    <xdr:ext cx="4194613" cy="34567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5FAB3E92-2D75-AE48-94CD-0526AB03C937}"/>
                </a:ext>
              </a:extLst>
            </xdr:cNvPr>
            <xdr:cNvSpPr txBox="1"/>
          </xdr:nvSpPr>
          <xdr:spPr>
            <a:xfrm>
              <a:off x="13519155474" y="4648200"/>
              <a:ext cx="41946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𝑆</m:t>
                        </m:r>
                      </m:sub>
                    </m:sSub>
                    <m:r>
                      <a:rPr lang="en-US" sz="1100" b="0" i="1">
                        <a:solidFill>
                          <a:srgbClr val="FF0000"/>
                        </a:solidFill>
                        <a:latin typeface="Cambria Math" panose="02040503050406030204" pitchFamily="18" charset="0"/>
                      </a:rPr>
                      <m:t>=</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𝐷𝐼𝑉</m:t>
                        </m:r>
                      </m:num>
                      <m:den>
                        <m:r>
                          <a:rPr lang="en-US" sz="1100" b="0" i="1">
                            <a:solidFill>
                              <a:srgbClr val="FF0000"/>
                            </a:solidFill>
                            <a:latin typeface="Cambria Math" panose="02040503050406030204" pitchFamily="18" charset="0"/>
                          </a:rPr>
                          <m:t>𝐷𝑖𝑣𝑖𝑑𝑒𝑛𝑑</m:t>
                        </m:r>
                        <m:r>
                          <a:rPr lang="en-US" sz="1100" b="0" i="1">
                            <a:solidFill>
                              <a:srgbClr val="FF0000"/>
                            </a:solidFill>
                            <a:latin typeface="Cambria Math" panose="02040503050406030204" pitchFamily="18" charset="0"/>
                          </a:rPr>
                          <m:t> </m:t>
                        </m:r>
                        <m:r>
                          <a:rPr lang="en-US" sz="1100" b="0" i="1">
                            <a:solidFill>
                              <a:srgbClr val="FF0000"/>
                            </a:solidFill>
                            <a:latin typeface="Cambria Math" panose="02040503050406030204" pitchFamily="18" charset="0"/>
                          </a:rPr>
                          <m:t>𝑌𝑖𝑒𝑙𝑑</m:t>
                        </m:r>
                        <m:r>
                          <a:rPr lang="en-US" sz="1100" b="0" i="1">
                            <a:solidFill>
                              <a:srgbClr val="FF0000"/>
                            </a:solidFill>
                            <a:latin typeface="Cambria Math" panose="02040503050406030204" pitchFamily="18" charset="0"/>
                          </a:rPr>
                          <m:t>%</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5FAB3E92-2D75-AE48-94CD-0526AB03C937}"/>
                </a:ext>
              </a:extLst>
            </xdr:cNvPr>
            <xdr:cNvSpPr txBox="1"/>
          </xdr:nvSpPr>
          <xdr:spPr>
            <a:xfrm>
              <a:off x="13519155474" y="4648200"/>
              <a:ext cx="419461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𝑌𝑖𝑒𝑙𝑑(%)=𝐷𝐼𝑉/𝑃_𝑆 →</a:t>
              </a:r>
              <a:r>
                <a:rPr lang="en-US" sz="1100" b="0" i="0">
                  <a:solidFill>
                    <a:srgbClr val="FF0000"/>
                  </a:solidFill>
                  <a:latin typeface="Cambria Math" panose="02040503050406030204" pitchFamily="18" charset="0"/>
                </a:rPr>
                <a:t>𝑃_𝑆=𝐷𝐼𝑉/(𝐷𝑖𝑣𝑖𝑑𝑒𝑛𝑑 𝑌𝑖𝑒𝑙𝑑%)</a:t>
              </a:r>
              <a:endParaRPr lang="en-US" sz="1100"/>
            </a:p>
          </xdr:txBody>
        </xdr:sp>
      </mc:Fallback>
    </mc:AlternateContent>
    <xdr:clientData/>
  </xdr:oneCellAnchor>
  <xdr:oneCellAnchor>
    <xdr:from>
      <xdr:col>2</xdr:col>
      <xdr:colOff>749300</xdr:colOff>
      <xdr:row>607</xdr:row>
      <xdr:rowOff>114300</xdr:rowOff>
    </xdr:from>
    <xdr:ext cx="3194168" cy="31688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EF957D3C-32FB-B043-B9EF-8E76F084AA80}"/>
                </a:ext>
              </a:extLst>
            </xdr:cNvPr>
            <xdr:cNvSpPr txBox="1"/>
          </xdr:nvSpPr>
          <xdr:spPr>
            <a:xfrm>
              <a:off x="13519397532" y="33439100"/>
              <a:ext cx="31941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EF957D3C-32FB-B043-B9EF-8E76F084AA80}"/>
                </a:ext>
              </a:extLst>
            </xdr:cNvPr>
            <xdr:cNvSpPr txBox="1"/>
          </xdr:nvSpPr>
          <xdr:spPr>
            <a:xfrm>
              <a:off x="13519397532" y="33439100"/>
              <a:ext cx="31941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𝐺𝑟𝑜𝑤𝑡ℎ)=𝐸𝑃𝑆/𝑟</a:t>
              </a:r>
              <a:endParaRPr lang="en-US" sz="1100"/>
            </a:p>
          </xdr:txBody>
        </xdr:sp>
      </mc:Fallback>
    </mc:AlternateContent>
    <xdr:clientData/>
  </xdr:oneCellAnchor>
  <xdr:oneCellAnchor>
    <xdr:from>
      <xdr:col>2</xdr:col>
      <xdr:colOff>508000</xdr:colOff>
      <xdr:row>619</xdr:row>
      <xdr:rowOff>88900</xdr:rowOff>
    </xdr:from>
    <xdr:ext cx="3194168" cy="17209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5AB7BD22-6ACD-E94E-8236-442493860C27}"/>
                </a:ext>
              </a:extLst>
            </xdr:cNvPr>
            <xdr:cNvSpPr txBox="1"/>
          </xdr:nvSpPr>
          <xdr:spPr>
            <a:xfrm>
              <a:off x="13519638832" y="35852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5AB7BD22-6ACD-E94E-8236-442493860C27}"/>
                </a:ext>
              </a:extLst>
            </xdr:cNvPr>
            <xdr:cNvSpPr txBox="1"/>
          </xdr:nvSpPr>
          <xdr:spPr>
            <a:xfrm>
              <a:off x="13519638832" y="35852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1</xdr:col>
      <xdr:colOff>336550</xdr:colOff>
      <xdr:row>664</xdr:row>
      <xdr:rowOff>95250</xdr:rowOff>
    </xdr:from>
    <xdr:ext cx="4445000" cy="346570"/>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666A85F1-F526-B546-AD73-A2F390F9F1DA}"/>
                </a:ext>
              </a:extLst>
            </xdr:cNvPr>
            <xdr:cNvSpPr txBox="1"/>
          </xdr:nvSpPr>
          <xdr:spPr>
            <a:xfrm>
              <a:off x="13519384950" y="450024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4" name="TextBox 13">
              <a:extLst>
                <a:ext uri="{FF2B5EF4-FFF2-40B4-BE49-F238E27FC236}">
                  <a16:creationId xmlns:a16="http://schemas.microsoft.com/office/drawing/2014/main" id="{666A85F1-F526-B546-AD73-A2F390F9F1DA}"/>
                </a:ext>
              </a:extLst>
            </xdr:cNvPr>
            <xdr:cNvSpPr txBox="1"/>
          </xdr:nvSpPr>
          <xdr:spPr>
            <a:xfrm>
              <a:off x="13519384950" y="450024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1</xdr:col>
      <xdr:colOff>679450</xdr:colOff>
      <xdr:row>686</xdr:row>
      <xdr:rowOff>127000</xdr:rowOff>
    </xdr:from>
    <xdr:ext cx="3194168" cy="172098"/>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EA98F5F1-E5EF-E942-9CA7-D34A4A002807}"/>
                </a:ext>
              </a:extLst>
            </xdr:cNvPr>
            <xdr:cNvSpPr txBox="1"/>
          </xdr:nvSpPr>
          <xdr:spPr>
            <a:xfrm>
              <a:off x="13520292882" y="495046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EA98F5F1-E5EF-E942-9CA7-D34A4A002807}"/>
                </a:ext>
              </a:extLst>
            </xdr:cNvPr>
            <xdr:cNvSpPr txBox="1"/>
          </xdr:nvSpPr>
          <xdr:spPr>
            <a:xfrm>
              <a:off x="13520292882" y="495046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2</xdr:col>
      <xdr:colOff>139700</xdr:colOff>
      <xdr:row>706</xdr:row>
      <xdr:rowOff>25400</xdr:rowOff>
    </xdr:from>
    <xdr:ext cx="3327518" cy="34567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173224E-DFDA-634D-9A98-A8AC9AB591E3}"/>
                </a:ext>
              </a:extLst>
            </xdr:cNvPr>
            <xdr:cNvSpPr txBox="1"/>
          </xdr:nvSpPr>
          <xdr:spPr>
            <a:xfrm>
              <a:off x="13519873782" y="534670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50</m:t>
                        </m:r>
                      </m:den>
                    </m:f>
                    <m:r>
                      <a:rPr lang="en-US" sz="1100" b="0" i="1">
                        <a:latin typeface="Cambria Math" panose="02040503050406030204" pitchFamily="18" charset="0"/>
                      </a:rPr>
                      <m:t>=25%</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173224E-DFDA-634D-9A98-A8AC9AB591E3}"/>
                </a:ext>
              </a:extLst>
            </xdr:cNvPr>
            <xdr:cNvSpPr txBox="1"/>
          </xdr:nvSpPr>
          <xdr:spPr>
            <a:xfrm>
              <a:off x="13519873782" y="5346700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→5%+10/50=25%</a:t>
              </a:r>
              <a:endParaRPr lang="en-US" sz="1100"/>
            </a:p>
          </xdr:txBody>
        </xdr:sp>
      </mc:Fallback>
    </mc:AlternateContent>
    <xdr:clientData/>
  </xdr:oneCellAnchor>
  <xdr:oneCellAnchor>
    <xdr:from>
      <xdr:col>2</xdr:col>
      <xdr:colOff>704850</xdr:colOff>
      <xdr:row>710</xdr:row>
      <xdr:rowOff>12700</xdr:rowOff>
    </xdr:from>
    <xdr:ext cx="2571868" cy="1720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D92AEE10-0889-8944-A286-749370E424CA}"/>
                </a:ext>
              </a:extLst>
            </xdr:cNvPr>
            <xdr:cNvSpPr txBox="1"/>
          </xdr:nvSpPr>
          <xdr:spPr>
            <a:xfrm>
              <a:off x="13520064282" y="5426710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D92AEE10-0889-8944-A286-749370E424CA}"/>
                </a:ext>
              </a:extLst>
            </xdr:cNvPr>
            <xdr:cNvSpPr txBox="1"/>
          </xdr:nvSpPr>
          <xdr:spPr>
            <a:xfrm>
              <a:off x="13520064282" y="5426710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𝑟=𝑅_𝐹+[𝐸(𝑀)−𝑅_𝐹 ]∗𝛽</a:t>
              </a:r>
              <a:endParaRPr lang="en-US" sz="1100"/>
            </a:p>
          </xdr:txBody>
        </xdr:sp>
      </mc:Fallback>
    </mc:AlternateContent>
    <xdr:clientData/>
  </xdr:oneCellAnchor>
  <xdr:oneCellAnchor>
    <xdr:from>
      <xdr:col>1</xdr:col>
      <xdr:colOff>816413</xdr:colOff>
      <xdr:row>466</xdr:row>
      <xdr:rowOff>63500</xdr:rowOff>
    </xdr:from>
    <xdr:ext cx="4194613" cy="346762"/>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5B7BFACF-01CA-5E4B-BAB8-54AF2A583612}"/>
                </a:ext>
              </a:extLst>
            </xdr:cNvPr>
            <xdr:cNvSpPr txBox="1"/>
          </xdr:nvSpPr>
          <xdr:spPr>
            <a:xfrm>
              <a:off x="13519155474" y="5143500"/>
              <a:ext cx="4194613"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𝑆</m:t>
                        </m:r>
                      </m:sub>
                    </m:sSub>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10%</m:t>
                        </m:r>
                      </m:den>
                    </m:f>
                    <m:r>
                      <a:rPr lang="he-IL" sz="1100" b="0" i="1">
                        <a:solidFill>
                          <a:srgbClr val="FF0000"/>
                        </a:solidFill>
                        <a:latin typeface="Cambria Math" panose="02040503050406030204" pitchFamily="18" charset="0"/>
                      </a:rPr>
                      <m:t>=10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5B7BFACF-01CA-5E4B-BAB8-54AF2A583612}"/>
                </a:ext>
              </a:extLst>
            </xdr:cNvPr>
            <xdr:cNvSpPr txBox="1"/>
          </xdr:nvSpPr>
          <xdr:spPr>
            <a:xfrm>
              <a:off x="13519155474" y="5143500"/>
              <a:ext cx="4194613"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/𝑃_𝑆 →</a:t>
              </a:r>
              <a:r>
                <a:rPr lang="en-US" sz="1100" b="0" i="0">
                  <a:solidFill>
                    <a:srgbClr val="FF0000"/>
                  </a:solidFill>
                  <a:latin typeface="Cambria Math" panose="02040503050406030204" pitchFamily="18" charset="0"/>
                </a:rPr>
                <a:t>𝑃_𝑆=</a:t>
              </a:r>
              <a:r>
                <a:rPr lang="he-IL" sz="1100" b="0" i="0">
                  <a:solidFill>
                    <a:srgbClr val="FF0000"/>
                  </a:solidFill>
                  <a:latin typeface="Cambria Math" panose="02040503050406030204" pitchFamily="18" charset="0"/>
                </a:rPr>
                <a:t>1/(10%)=10</a:t>
              </a:r>
              <a:endParaRPr lang="en-US" sz="1100"/>
            </a:p>
          </xdr:txBody>
        </xdr:sp>
      </mc:Fallback>
    </mc:AlternateContent>
    <xdr:clientData/>
  </xdr:oneCellAnchor>
  <xdr:oneCellAnchor>
    <xdr:from>
      <xdr:col>4</xdr:col>
      <xdr:colOff>768350</xdr:colOff>
      <xdr:row>473</xdr:row>
      <xdr:rowOff>38100</xdr:rowOff>
    </xdr:from>
    <xdr:ext cx="1149350" cy="346570"/>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BDBE76B3-27DB-4C40-AFE1-0F03D917D907}"/>
                </a:ext>
              </a:extLst>
            </xdr:cNvPr>
            <xdr:cNvSpPr txBox="1"/>
          </xdr:nvSpPr>
          <xdr:spPr>
            <a:xfrm>
              <a:off x="13519772300" y="6540500"/>
              <a:ext cx="11493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1" i="1">
                            <a:solidFill>
                              <a:srgbClr val="FF0000"/>
                            </a:solidFill>
                            <a:latin typeface="Cambria Math" panose="02040503050406030204" pitchFamily="18" charset="0"/>
                          </a:rPr>
                          <m:t>𝒓</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9" name="TextBox 18">
              <a:extLst>
                <a:ext uri="{FF2B5EF4-FFF2-40B4-BE49-F238E27FC236}">
                  <a16:creationId xmlns:a16="http://schemas.microsoft.com/office/drawing/2014/main" id="{BDBE76B3-27DB-4C40-AFE1-0F03D917D907}"/>
                </a:ext>
              </a:extLst>
            </xdr:cNvPr>
            <xdr:cNvSpPr txBox="1"/>
          </xdr:nvSpPr>
          <xdr:spPr>
            <a:xfrm>
              <a:off x="13519772300" y="6540500"/>
              <a:ext cx="114935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a:t>
              </a:r>
              <a:r>
                <a:rPr lang="en-US" sz="1100" b="1" i="0">
                  <a:solidFill>
                    <a:srgbClr val="FF0000"/>
                  </a:solidFill>
                  <a:latin typeface="Cambria Math" panose="02040503050406030204" pitchFamily="18" charset="0"/>
                </a:rPr>
                <a:t>𝒓</a:t>
              </a:r>
              <a:r>
                <a:rPr lang="en-US" sz="1100" b="0" i="0">
                  <a:latin typeface="Cambria Math" panose="02040503050406030204" pitchFamily="18" charset="0"/>
                </a:rPr>
                <a:t>−𝑔)</a:t>
              </a:r>
              <a:endParaRPr lang="en-US" sz="1100"/>
            </a:p>
          </xdr:txBody>
        </xdr:sp>
      </mc:Fallback>
    </mc:AlternateContent>
    <xdr:clientData/>
  </xdr:oneCellAnchor>
  <xdr:oneCellAnchor>
    <xdr:from>
      <xdr:col>1</xdr:col>
      <xdr:colOff>527050</xdr:colOff>
      <xdr:row>473</xdr:row>
      <xdr:rowOff>44450</xdr:rowOff>
    </xdr:from>
    <xdr:ext cx="3327518" cy="34567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EBFF093F-0F1E-C847-88DE-190D15FCB89C}"/>
                </a:ext>
              </a:extLst>
            </xdr:cNvPr>
            <xdr:cNvSpPr txBox="1"/>
          </xdr:nvSpPr>
          <xdr:spPr>
            <a:xfrm>
              <a:off x="13520311932" y="6546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𝒓</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20" name="TextBox 19">
              <a:extLst>
                <a:ext uri="{FF2B5EF4-FFF2-40B4-BE49-F238E27FC236}">
                  <a16:creationId xmlns:a16="http://schemas.microsoft.com/office/drawing/2014/main" id="{EBFF093F-0F1E-C847-88DE-190D15FCB89C}"/>
                </a:ext>
              </a:extLst>
            </xdr:cNvPr>
            <xdr:cNvSpPr txBox="1"/>
          </xdr:nvSpPr>
          <xdr:spPr>
            <a:xfrm>
              <a:off x="13520311932" y="65468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𝒓</a:t>
              </a:r>
              <a:r>
                <a:rPr lang="en-US" sz="1100" b="0" i="0">
                  <a:latin typeface="Cambria Math" panose="02040503050406030204" pitchFamily="18" charset="0"/>
                </a:rPr>
                <a:t>=𝑔+𝐷𝐼𝑉/𝑃_𝑆 </a:t>
              </a:r>
              <a:endParaRPr lang="en-US" sz="1100"/>
            </a:p>
          </xdr:txBody>
        </xdr:sp>
      </mc:Fallback>
    </mc:AlternateContent>
    <xdr:clientData/>
  </xdr:oneCellAnchor>
  <xdr:twoCellAnchor>
    <xdr:from>
      <xdr:col>4</xdr:col>
      <xdr:colOff>177800</xdr:colOff>
      <xdr:row>473</xdr:row>
      <xdr:rowOff>146050</xdr:rowOff>
    </xdr:from>
    <xdr:to>
      <xdr:col>4</xdr:col>
      <xdr:colOff>673100</xdr:colOff>
      <xdr:row>474</xdr:row>
      <xdr:rowOff>101600</xdr:rowOff>
    </xdr:to>
    <xdr:sp macro="" textlink="">
      <xdr:nvSpPr>
        <xdr:cNvPr id="21" name="Right Arrow 20">
          <a:extLst>
            <a:ext uri="{FF2B5EF4-FFF2-40B4-BE49-F238E27FC236}">
              <a16:creationId xmlns:a16="http://schemas.microsoft.com/office/drawing/2014/main" id="{DE6519EA-9DF5-CC44-9B34-63EA6DA6AEC3}"/>
            </a:ext>
          </a:extLst>
        </xdr:cNvPr>
        <xdr:cNvSpPr/>
      </xdr:nvSpPr>
      <xdr:spPr>
        <a:xfrm>
          <a:off x="13521016900" y="6648450"/>
          <a:ext cx="495300" cy="1587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292100</xdr:colOff>
      <xdr:row>478</xdr:row>
      <xdr:rowOff>133350</xdr:rowOff>
    </xdr:from>
    <xdr:ext cx="4194613" cy="172098"/>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E4B65E1A-FE64-C94A-A0BD-9FE2BBC2793B}"/>
                </a:ext>
              </a:extLst>
            </xdr:cNvPr>
            <xdr:cNvSpPr txBox="1"/>
          </xdr:nvSpPr>
          <xdr:spPr>
            <a:xfrm>
              <a:off x="13518854287" y="76517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=1∗</m:t>
                    </m:r>
                    <m:d>
                      <m:dPr>
                        <m:ctrlPr>
                          <a:rPr lang="en-US" sz="1100" b="0" i="1">
                            <a:latin typeface="Cambria Math" panose="02040503050406030204" pitchFamily="18" charset="0"/>
                          </a:rPr>
                        </m:ctrlPr>
                      </m:dPr>
                      <m:e>
                        <m:r>
                          <a:rPr lang="en-US" sz="1100" b="0" i="1">
                            <a:latin typeface="Cambria Math" panose="02040503050406030204" pitchFamily="18" charset="0"/>
                          </a:rPr>
                          <m:t>1+15%</m:t>
                        </m:r>
                      </m:e>
                    </m:d>
                    <m:r>
                      <a:rPr lang="en-US" sz="1100" b="0" i="1">
                        <a:latin typeface="Cambria Math" panose="02040503050406030204" pitchFamily="18" charset="0"/>
                      </a:rPr>
                      <m:t>=1.15</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E4B65E1A-FE64-C94A-A0BD-9FE2BBC2793B}"/>
                </a:ext>
              </a:extLst>
            </xdr:cNvPr>
            <xdr:cNvSpPr txBox="1"/>
          </xdr:nvSpPr>
          <xdr:spPr>
            <a:xfrm>
              <a:off x="13518854287" y="7651750"/>
              <a:ext cx="419461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𝐷𝐼𝑉_1=1∗(1+15%)=1.15</a:t>
              </a:r>
              <a:endParaRPr lang="en-US" sz="1100"/>
            </a:p>
          </xdr:txBody>
        </xdr:sp>
      </mc:Fallback>
    </mc:AlternateContent>
    <xdr:clientData/>
  </xdr:oneCellAnchor>
  <xdr:oneCellAnchor>
    <xdr:from>
      <xdr:col>2</xdr:col>
      <xdr:colOff>704850</xdr:colOff>
      <xdr:row>486</xdr:row>
      <xdr:rowOff>158750</xdr:rowOff>
    </xdr:from>
    <xdr:ext cx="3327518" cy="320344"/>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8C3DE6CA-E9C9-8C40-A279-A673A4888325}"/>
                </a:ext>
              </a:extLst>
            </xdr:cNvPr>
            <xdr:cNvSpPr txBox="1"/>
          </xdr:nvSpPr>
          <xdr:spPr>
            <a:xfrm>
              <a:off x="13519308632" y="9302750"/>
              <a:ext cx="33275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=15%+</m:t>
                    </m:r>
                    <m:f>
                      <m:fPr>
                        <m:ctrlPr>
                          <a:rPr lang="en-US" sz="1100" b="0" i="1">
                            <a:latin typeface="Cambria Math" panose="02040503050406030204" pitchFamily="18" charset="0"/>
                          </a:rPr>
                        </m:ctrlPr>
                      </m:fPr>
                      <m:num>
                        <m:r>
                          <a:rPr lang="he-IL" sz="1100" b="0" i="1">
                            <a:latin typeface="Cambria Math" panose="02040503050406030204" pitchFamily="18" charset="0"/>
                          </a:rPr>
                          <m:t>1.15</m:t>
                        </m:r>
                      </m:num>
                      <m:den>
                        <m:r>
                          <a:rPr lang="he-IL" sz="1100" b="0" i="1">
                            <a:latin typeface="Cambria Math" panose="02040503050406030204" pitchFamily="18" charset="0"/>
                          </a:rPr>
                          <m:t>10</m:t>
                        </m:r>
                      </m:den>
                    </m:f>
                    <m:r>
                      <a:rPr lang="he-IL" sz="1100" b="0" i="1">
                        <a:latin typeface="Cambria Math" panose="02040503050406030204" pitchFamily="18" charset="0"/>
                      </a:rPr>
                      <m:t>=26.5%</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8C3DE6CA-E9C9-8C40-A279-A673A4888325}"/>
                </a:ext>
              </a:extLst>
            </xdr:cNvPr>
            <xdr:cNvSpPr txBox="1"/>
          </xdr:nvSpPr>
          <xdr:spPr>
            <a:xfrm>
              <a:off x="13519308632" y="9302750"/>
              <a:ext cx="33275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𝑟=15%+</a:t>
              </a:r>
              <a:r>
                <a:rPr lang="he-IL" sz="1100" b="0" i="0">
                  <a:latin typeface="Cambria Math" panose="02040503050406030204" pitchFamily="18" charset="0"/>
                </a:rPr>
                <a:t>1.15</a:t>
              </a:r>
              <a:r>
                <a:rPr lang="en-US" sz="1100" b="0" i="0">
                  <a:latin typeface="Cambria Math" panose="02040503050406030204" pitchFamily="18" charset="0"/>
                </a:rPr>
                <a:t>/</a:t>
              </a:r>
              <a:r>
                <a:rPr lang="he-IL" sz="1100" b="0" i="0">
                  <a:latin typeface="Cambria Math" panose="02040503050406030204" pitchFamily="18" charset="0"/>
                </a:rPr>
                <a:t>10=26.5%</a:t>
              </a:r>
              <a:endParaRPr lang="en-US" sz="1100"/>
            </a:p>
          </xdr:txBody>
        </xdr:sp>
      </mc:Fallback>
    </mc:AlternateContent>
    <xdr:clientData/>
  </xdr:oneCellAnchor>
  <xdr:oneCellAnchor>
    <xdr:from>
      <xdr:col>1</xdr:col>
      <xdr:colOff>450850</xdr:colOff>
      <xdr:row>517</xdr:row>
      <xdr:rowOff>133350</xdr:rowOff>
    </xdr:from>
    <xdr:ext cx="4445000" cy="32810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117325FE-14D7-BC43-8AE1-E8537C8D18F5}"/>
                </a:ext>
              </a:extLst>
            </xdr:cNvPr>
            <xdr:cNvSpPr txBox="1"/>
          </xdr:nvSpPr>
          <xdr:spPr>
            <a:xfrm>
              <a:off x="13519270650" y="157797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15%−10%</m:t>
                        </m:r>
                      </m:den>
                    </m:f>
                    <m:r>
                      <a:rPr lang="he-IL" sz="1100" b="0" i="1">
                        <a:latin typeface="Cambria Math" panose="02040503050406030204" pitchFamily="18" charset="0"/>
                      </a:rPr>
                      <m:t>=11</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117325FE-14D7-BC43-8AE1-E8537C8D18F5}"/>
                </a:ext>
              </a:extLst>
            </xdr:cNvPr>
            <xdr:cNvSpPr txBox="1"/>
          </xdr:nvSpPr>
          <xdr:spPr>
            <a:xfrm>
              <a:off x="13519270650" y="157797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0.55</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=11</a:t>
              </a:r>
              <a:endParaRPr lang="en-US" sz="1100"/>
            </a:p>
          </xdr:txBody>
        </xdr:sp>
      </mc:Fallback>
    </mc:AlternateContent>
    <xdr:clientData/>
  </xdr:oneCellAnchor>
  <xdr:twoCellAnchor>
    <xdr:from>
      <xdr:col>3</xdr:col>
      <xdr:colOff>336550</xdr:colOff>
      <xdr:row>525</xdr:row>
      <xdr:rowOff>158750</xdr:rowOff>
    </xdr:from>
    <xdr:to>
      <xdr:col>4</xdr:col>
      <xdr:colOff>444500</xdr:colOff>
      <xdr:row>527</xdr:row>
      <xdr:rowOff>31750</xdr:rowOff>
    </xdr:to>
    <xdr:cxnSp macro="">
      <xdr:nvCxnSpPr>
        <xdr:cNvPr id="25" name="Straight Arrow Connector 24">
          <a:extLst>
            <a:ext uri="{FF2B5EF4-FFF2-40B4-BE49-F238E27FC236}">
              <a16:creationId xmlns:a16="http://schemas.microsoft.com/office/drawing/2014/main" id="{6C4509C0-ED29-BF49-B606-A47C79D0FDB8}"/>
            </a:ext>
          </a:extLst>
        </xdr:cNvPr>
        <xdr:cNvCxnSpPr/>
      </xdr:nvCxnSpPr>
      <xdr:spPr>
        <a:xfrm flipH="1">
          <a:off x="13521245500" y="17430750"/>
          <a:ext cx="933450" cy="279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603250</xdr:colOff>
      <xdr:row>525</xdr:row>
      <xdr:rowOff>158750</xdr:rowOff>
    </xdr:from>
    <xdr:to>
      <xdr:col>3</xdr:col>
      <xdr:colOff>355600</xdr:colOff>
      <xdr:row>527</xdr:row>
      <xdr:rowOff>44450</xdr:rowOff>
    </xdr:to>
    <xdr:cxnSp macro="">
      <xdr:nvCxnSpPr>
        <xdr:cNvPr id="26" name="Straight Arrow Connector 25">
          <a:extLst>
            <a:ext uri="{FF2B5EF4-FFF2-40B4-BE49-F238E27FC236}">
              <a16:creationId xmlns:a16="http://schemas.microsoft.com/office/drawing/2014/main" id="{20A786F4-D530-9742-8F9C-B4FE7771F803}"/>
            </a:ext>
          </a:extLst>
        </xdr:cNvPr>
        <xdr:cNvCxnSpPr/>
      </xdr:nvCxnSpPr>
      <xdr:spPr>
        <a:xfrm>
          <a:off x="13522159900" y="17430750"/>
          <a:ext cx="577850" cy="292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412750</xdr:colOff>
      <xdr:row>532</xdr:row>
      <xdr:rowOff>177800</xdr:rowOff>
    </xdr:from>
    <xdr:to>
      <xdr:col>2</xdr:col>
      <xdr:colOff>419100</xdr:colOff>
      <xdr:row>534</xdr:row>
      <xdr:rowOff>127000</xdr:rowOff>
    </xdr:to>
    <xdr:cxnSp macro="">
      <xdr:nvCxnSpPr>
        <xdr:cNvPr id="27" name="Straight Arrow Connector 26">
          <a:extLst>
            <a:ext uri="{FF2B5EF4-FFF2-40B4-BE49-F238E27FC236}">
              <a16:creationId xmlns:a16="http://schemas.microsoft.com/office/drawing/2014/main" id="{D30A5C5E-727D-B44C-9DDA-3105B080B9C4}"/>
            </a:ext>
          </a:extLst>
        </xdr:cNvPr>
        <xdr:cNvCxnSpPr/>
      </xdr:nvCxnSpPr>
      <xdr:spPr>
        <a:xfrm>
          <a:off x="13522921900" y="18872200"/>
          <a:ext cx="6350" cy="355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679450</xdr:colOff>
      <xdr:row>530</xdr:row>
      <xdr:rowOff>76200</xdr:rowOff>
    </xdr:from>
    <xdr:to>
      <xdr:col>5</xdr:col>
      <xdr:colOff>685800</xdr:colOff>
      <xdr:row>534</xdr:row>
      <xdr:rowOff>165100</xdr:rowOff>
    </xdr:to>
    <xdr:cxnSp macro="">
      <xdr:nvCxnSpPr>
        <xdr:cNvPr id="28" name="Straight Arrow Connector 27">
          <a:extLst>
            <a:ext uri="{FF2B5EF4-FFF2-40B4-BE49-F238E27FC236}">
              <a16:creationId xmlns:a16="http://schemas.microsoft.com/office/drawing/2014/main" id="{12C5901A-67AC-CC4A-9A11-D63669E84D59}"/>
            </a:ext>
          </a:extLst>
        </xdr:cNvPr>
        <xdr:cNvCxnSpPr/>
      </xdr:nvCxnSpPr>
      <xdr:spPr>
        <a:xfrm>
          <a:off x="13520178700" y="18364200"/>
          <a:ext cx="6350" cy="901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50800</xdr:colOff>
      <xdr:row>535</xdr:row>
      <xdr:rowOff>57150</xdr:rowOff>
    </xdr:from>
    <xdr:ext cx="4842313" cy="320344"/>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91D32A0-C87B-EC4E-B942-DA157551F25C}"/>
                </a:ext>
              </a:extLst>
            </xdr:cNvPr>
            <xdr:cNvSpPr txBox="1"/>
          </xdr:nvSpPr>
          <xdr:spPr>
            <a:xfrm>
              <a:off x="13517622387" y="19361150"/>
              <a:ext cx="484231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𝐷𝑖𝑣𝑖𝑑𝑒𝑛𝑑</m:t>
                    </m:r>
                    <m:r>
                      <a:rPr lang="en-US" sz="1100" b="0" i="1">
                        <a:latin typeface="Cambria Math" panose="02040503050406030204" pitchFamily="18" charset="0"/>
                      </a:rPr>
                      <m:t> </m:t>
                    </m:r>
                    <m:r>
                      <a:rPr lang="en-US" sz="1100" b="0" i="1">
                        <a:latin typeface="Cambria Math" panose="02040503050406030204" pitchFamily="18" charset="0"/>
                      </a:rPr>
                      <m:t>𝑌𝑖𝑒𝑙𝑑</m:t>
                    </m:r>
                    <m:d>
                      <m:dPr>
                        <m:ctrlPr>
                          <a:rPr lang="en-US" sz="1100" b="0" i="1">
                            <a:latin typeface="Cambria Math" panose="02040503050406030204" pitchFamily="18" charset="0"/>
                          </a:rPr>
                        </m:ctrlPr>
                      </m:dPr>
                      <m:e>
                        <m:r>
                          <a:rPr lang="en-US" sz="1100" b="0" i="1">
                            <a:latin typeface="Cambria Math" panose="02040503050406030204" pitchFamily="18" charset="0"/>
                          </a:rPr>
                          <m:t>%</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0.55</m:t>
                        </m:r>
                      </m:num>
                      <m:den>
                        <m:r>
                          <a:rPr lang="he-IL" sz="1100" b="0" i="1">
                            <a:latin typeface="Cambria Math" panose="02040503050406030204" pitchFamily="18" charset="0"/>
                          </a:rPr>
                          <m:t>11</m:t>
                        </m:r>
                      </m:den>
                    </m:f>
                    <m:r>
                      <a:rPr lang="he-IL" sz="1100" b="0" i="1">
                        <a:latin typeface="Cambria Math" panose="02040503050406030204" pitchFamily="18" charset="0"/>
                      </a:rPr>
                      <m:t>=5%</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91D32A0-C87B-EC4E-B942-DA157551F25C}"/>
                </a:ext>
              </a:extLst>
            </xdr:cNvPr>
            <xdr:cNvSpPr txBox="1"/>
          </xdr:nvSpPr>
          <xdr:spPr>
            <a:xfrm>
              <a:off x="13517622387" y="19361150"/>
              <a:ext cx="484231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𝐷𝑖𝑣𝑖𝑑𝑒𝑛𝑑 𝑌𝑖𝑒𝑙𝑑(%)=</a:t>
              </a:r>
              <a:r>
                <a:rPr lang="he-IL" sz="1100" b="0" i="0">
                  <a:latin typeface="Cambria Math" panose="02040503050406030204" pitchFamily="18" charset="0"/>
                </a:rPr>
                <a:t>0.55</a:t>
              </a:r>
              <a:r>
                <a:rPr lang="en-US" sz="1100" b="0" i="0">
                  <a:latin typeface="Cambria Math" panose="02040503050406030204" pitchFamily="18" charset="0"/>
                </a:rPr>
                <a:t>/</a:t>
              </a:r>
              <a:r>
                <a:rPr lang="he-IL" sz="1100" b="0" i="0">
                  <a:latin typeface="Cambria Math" panose="02040503050406030204" pitchFamily="18" charset="0"/>
                </a:rPr>
                <a:t>11=5%</a:t>
              </a:r>
              <a:endParaRPr lang="en-US" sz="1100"/>
            </a:p>
          </xdr:txBody>
        </xdr:sp>
      </mc:Fallback>
    </mc:AlternateContent>
    <xdr:clientData/>
  </xdr:oneCellAnchor>
  <xdr:oneCellAnchor>
    <xdr:from>
      <xdr:col>2</xdr:col>
      <xdr:colOff>508000</xdr:colOff>
      <xdr:row>546</xdr:row>
      <xdr:rowOff>196850</xdr:rowOff>
    </xdr:from>
    <xdr:ext cx="2641718" cy="315792"/>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50E6F6E8-8EA5-C440-A99E-6ACF6A3B2920}"/>
                </a:ext>
              </a:extLst>
            </xdr:cNvPr>
            <xdr:cNvSpPr txBox="1"/>
          </xdr:nvSpPr>
          <xdr:spPr>
            <a:xfrm>
              <a:off x="13520191282" y="217360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11</m:t>
                        </m:r>
                      </m:num>
                      <m:den>
                        <m:r>
                          <a:rPr lang="he-IL" sz="1100" b="0" i="1">
                            <a:latin typeface="Cambria Math" panose="02040503050406030204" pitchFamily="18" charset="0"/>
                          </a:rPr>
                          <m:t>2</m:t>
                        </m:r>
                      </m:den>
                    </m:f>
                    <m:r>
                      <a:rPr lang="he-IL" sz="1100" b="0" i="1">
                        <a:latin typeface="Cambria Math" panose="02040503050406030204" pitchFamily="18" charset="0"/>
                      </a:rPr>
                      <m:t>=5.5</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50E6F6E8-8EA5-C440-A99E-6ACF6A3B2920}"/>
                </a:ext>
              </a:extLst>
            </xdr:cNvPr>
            <xdr:cNvSpPr txBox="1"/>
          </xdr:nvSpPr>
          <xdr:spPr>
            <a:xfrm>
              <a:off x="13520191282" y="21736050"/>
              <a:ext cx="26417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11</a:t>
              </a:r>
              <a:r>
                <a:rPr lang="en-US" sz="1100" b="0" i="0">
                  <a:latin typeface="Cambria Math" panose="02040503050406030204" pitchFamily="18" charset="0"/>
                </a:rPr>
                <a:t>/</a:t>
              </a:r>
              <a:r>
                <a:rPr lang="he-IL" sz="1100" b="0" i="0">
                  <a:latin typeface="Cambria Math" panose="02040503050406030204" pitchFamily="18" charset="0"/>
                </a:rPr>
                <a:t>2=5.5</a:t>
              </a:r>
              <a:endParaRPr lang="en-US" sz="1100"/>
            </a:p>
          </xdr:txBody>
        </xdr:sp>
      </mc:Fallback>
    </mc:AlternateContent>
    <xdr:clientData/>
  </xdr:oneCellAnchor>
  <xdr:twoCellAnchor>
    <xdr:from>
      <xdr:col>3</xdr:col>
      <xdr:colOff>361950</xdr:colOff>
      <xdr:row>562</xdr:row>
      <xdr:rowOff>127000</xdr:rowOff>
    </xdr:from>
    <xdr:to>
      <xdr:col>3</xdr:col>
      <xdr:colOff>374650</xdr:colOff>
      <xdr:row>564</xdr:row>
      <xdr:rowOff>107950</xdr:rowOff>
    </xdr:to>
    <xdr:cxnSp macro="">
      <xdr:nvCxnSpPr>
        <xdr:cNvPr id="31" name="Straight Arrow Connector 30">
          <a:extLst>
            <a:ext uri="{FF2B5EF4-FFF2-40B4-BE49-F238E27FC236}">
              <a16:creationId xmlns:a16="http://schemas.microsoft.com/office/drawing/2014/main" id="{70B1DDBC-D582-8741-A8D7-7EC11F02F034}"/>
            </a:ext>
          </a:extLst>
        </xdr:cNvPr>
        <xdr:cNvCxnSpPr/>
      </xdr:nvCxnSpPr>
      <xdr:spPr>
        <a:xfrm>
          <a:off x="13522140850" y="24511000"/>
          <a:ext cx="12700" cy="387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69850</xdr:colOff>
      <xdr:row>565</xdr:row>
      <xdr:rowOff>9524</xdr:rowOff>
    </xdr:from>
    <xdr:ext cx="2279768" cy="315792"/>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2D89D7C7-1BD7-3D4F-A1C8-B08263FEA5B9}"/>
                </a:ext>
              </a:extLst>
            </xdr:cNvPr>
            <xdr:cNvSpPr txBox="1"/>
          </xdr:nvSpPr>
          <xdr:spPr>
            <a:xfrm>
              <a:off x="13520991382" y="25003124"/>
              <a:ext cx="227976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32" name="TextBox 31">
              <a:extLst>
                <a:ext uri="{FF2B5EF4-FFF2-40B4-BE49-F238E27FC236}">
                  <a16:creationId xmlns:a16="http://schemas.microsoft.com/office/drawing/2014/main" id="{2D89D7C7-1BD7-3D4F-A1C8-B08263FEA5B9}"/>
                </a:ext>
              </a:extLst>
            </xdr:cNvPr>
            <xdr:cNvSpPr txBox="1"/>
          </xdr:nvSpPr>
          <xdr:spPr>
            <a:xfrm>
              <a:off x="13520991382" y="25003124"/>
              <a:ext cx="227976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𝑃𝐸=𝑃_𝑆/𝐸𝑃𝑆</a:t>
              </a:r>
              <a:endParaRPr lang="en-US" sz="1100"/>
            </a:p>
          </xdr:txBody>
        </xdr:sp>
      </mc:Fallback>
    </mc:AlternateContent>
    <xdr:clientData/>
  </xdr:oneCellAnchor>
  <xdr:twoCellAnchor>
    <xdr:from>
      <xdr:col>2</xdr:col>
      <xdr:colOff>406400</xdr:colOff>
      <xdr:row>567</xdr:row>
      <xdr:rowOff>12700</xdr:rowOff>
    </xdr:from>
    <xdr:to>
      <xdr:col>3</xdr:col>
      <xdr:colOff>241300</xdr:colOff>
      <xdr:row>568</xdr:row>
      <xdr:rowOff>127000</xdr:rowOff>
    </xdr:to>
    <xdr:cxnSp macro="">
      <xdr:nvCxnSpPr>
        <xdr:cNvPr id="33" name="Straight Arrow Connector 32">
          <a:extLst>
            <a:ext uri="{FF2B5EF4-FFF2-40B4-BE49-F238E27FC236}">
              <a16:creationId xmlns:a16="http://schemas.microsoft.com/office/drawing/2014/main" id="{9AE8A13A-52CF-B046-B678-DA827556E666}"/>
            </a:ext>
          </a:extLst>
        </xdr:cNvPr>
        <xdr:cNvCxnSpPr/>
      </xdr:nvCxnSpPr>
      <xdr:spPr>
        <a:xfrm>
          <a:off x="13522274200" y="25412700"/>
          <a:ext cx="660400" cy="317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234950</xdr:colOff>
      <xdr:row>567</xdr:row>
      <xdr:rowOff>6350</xdr:rowOff>
    </xdr:from>
    <xdr:to>
      <xdr:col>4</xdr:col>
      <xdr:colOff>120650</xdr:colOff>
      <xdr:row>568</xdr:row>
      <xdr:rowOff>133350</xdr:rowOff>
    </xdr:to>
    <xdr:cxnSp macro="">
      <xdr:nvCxnSpPr>
        <xdr:cNvPr id="34" name="Straight Arrow Connector 33">
          <a:extLst>
            <a:ext uri="{FF2B5EF4-FFF2-40B4-BE49-F238E27FC236}">
              <a16:creationId xmlns:a16="http://schemas.microsoft.com/office/drawing/2014/main" id="{F07F1771-13F1-4E4C-B300-F607A95F55A3}"/>
            </a:ext>
          </a:extLst>
        </xdr:cNvPr>
        <xdr:cNvCxnSpPr/>
      </xdr:nvCxnSpPr>
      <xdr:spPr>
        <a:xfrm flipH="1">
          <a:off x="13521569350" y="25406350"/>
          <a:ext cx="711200" cy="330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666750</xdr:colOff>
      <xdr:row>573</xdr:row>
      <xdr:rowOff>63500</xdr:rowOff>
    </xdr:from>
    <xdr:to>
      <xdr:col>1</xdr:col>
      <xdr:colOff>673100</xdr:colOff>
      <xdr:row>575</xdr:row>
      <xdr:rowOff>0</xdr:rowOff>
    </xdr:to>
    <xdr:cxnSp macro="">
      <xdr:nvCxnSpPr>
        <xdr:cNvPr id="35" name="Straight Arrow Connector 34">
          <a:extLst>
            <a:ext uri="{FF2B5EF4-FFF2-40B4-BE49-F238E27FC236}">
              <a16:creationId xmlns:a16="http://schemas.microsoft.com/office/drawing/2014/main" id="{AD52D311-173F-8647-A6A3-B3AEAF99F9C4}"/>
            </a:ext>
          </a:extLst>
        </xdr:cNvPr>
        <xdr:cNvCxnSpPr/>
      </xdr:nvCxnSpPr>
      <xdr:spPr>
        <a:xfrm>
          <a:off x="13523493400" y="26682700"/>
          <a:ext cx="6350" cy="342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615950</xdr:colOff>
      <xdr:row>572</xdr:row>
      <xdr:rowOff>101600</xdr:rowOff>
    </xdr:from>
    <xdr:to>
      <xdr:col>4</xdr:col>
      <xdr:colOff>615950</xdr:colOff>
      <xdr:row>574</xdr:row>
      <xdr:rowOff>139700</xdr:rowOff>
    </xdr:to>
    <xdr:cxnSp macro="">
      <xdr:nvCxnSpPr>
        <xdr:cNvPr id="36" name="Straight Arrow Connector 35">
          <a:extLst>
            <a:ext uri="{FF2B5EF4-FFF2-40B4-BE49-F238E27FC236}">
              <a16:creationId xmlns:a16="http://schemas.microsoft.com/office/drawing/2014/main" id="{5D5A3728-36E7-C24F-A1C8-C3027297DC39}"/>
            </a:ext>
          </a:extLst>
        </xdr:cNvPr>
        <xdr:cNvCxnSpPr/>
      </xdr:nvCxnSpPr>
      <xdr:spPr>
        <a:xfrm>
          <a:off x="13521074050" y="26517600"/>
          <a:ext cx="0" cy="444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546100</xdr:colOff>
      <xdr:row>575</xdr:row>
      <xdr:rowOff>41274</xdr:rowOff>
    </xdr:from>
    <xdr:ext cx="2279768" cy="345672"/>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D96D81B-C440-FE4F-9D50-6B76EC17E4A6}"/>
                </a:ext>
              </a:extLst>
            </xdr:cNvPr>
            <xdr:cNvSpPr txBox="1"/>
          </xdr:nvSpPr>
          <xdr:spPr>
            <a:xfrm>
              <a:off x="13522166132" y="27066874"/>
              <a:ext cx="2279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he-IL" sz="1100" b="0" i="1">
                        <a:latin typeface="Cambria Math" panose="02040503050406030204" pitchFamily="18" charset="0"/>
                      </a:rPr>
                      <m:t>(</m:t>
                    </m:r>
                    <m:r>
                      <a:rPr lang="en-US" sz="1100" b="0" i="1">
                        <a:latin typeface="Cambria Math" panose="02040503050406030204" pitchFamily="18" charset="0"/>
                      </a:rPr>
                      <m:t>𝐻𝑖𝑠𝑡𝑜𝑟𝑖𝑐</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𝐻𝐼𝑆𝑇𝑂𝑅𝐼𝐶</m:t>
                            </m:r>
                          </m:sub>
                        </m:sSub>
                      </m:den>
                    </m:f>
                  </m:oMath>
                </m:oMathPara>
              </a14:m>
              <a:endParaRPr lang="en-US" sz="1100"/>
            </a:p>
          </xdr:txBody>
        </xdr:sp>
      </mc:Choice>
      <mc:Fallback xmlns="">
        <xdr:sp macro="" textlink="">
          <xdr:nvSpPr>
            <xdr:cNvPr id="37" name="TextBox 36">
              <a:extLst>
                <a:ext uri="{FF2B5EF4-FFF2-40B4-BE49-F238E27FC236}">
                  <a16:creationId xmlns:a16="http://schemas.microsoft.com/office/drawing/2014/main" id="{4D96D81B-C440-FE4F-9D50-6B76EC17E4A6}"/>
                </a:ext>
              </a:extLst>
            </xdr:cNvPr>
            <xdr:cNvSpPr txBox="1"/>
          </xdr:nvSpPr>
          <xdr:spPr>
            <a:xfrm>
              <a:off x="13522166132" y="27066874"/>
              <a:ext cx="227976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𝐻𝑖𝑠𝑡𝑜𝑟𝑖𝑐)=𝑃_𝑆/(𝐸𝑃𝑆_𝐻𝐼𝑆𝑇𝑂𝑅𝐼𝐶 )</a:t>
              </a:r>
              <a:endParaRPr lang="en-US" sz="1100"/>
            </a:p>
          </xdr:txBody>
        </xdr:sp>
      </mc:Fallback>
    </mc:AlternateContent>
    <xdr:clientData/>
  </xdr:oneCellAnchor>
  <xdr:oneCellAnchor>
    <xdr:from>
      <xdr:col>3</xdr:col>
      <xdr:colOff>647700</xdr:colOff>
      <xdr:row>575</xdr:row>
      <xdr:rowOff>79374</xdr:rowOff>
    </xdr:from>
    <xdr:ext cx="2279768" cy="345479"/>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4B66F03-8D9A-8547-817F-2B1EAD650007}"/>
                </a:ext>
              </a:extLst>
            </xdr:cNvPr>
            <xdr:cNvSpPr txBox="1"/>
          </xdr:nvSpPr>
          <xdr:spPr>
            <a:xfrm>
              <a:off x="13519588032" y="27104974"/>
              <a:ext cx="2279768"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he-IL" sz="1100" b="0" i="1">
                        <a:latin typeface="Cambria Math" panose="02040503050406030204" pitchFamily="18" charset="0"/>
                      </a:rPr>
                      <m:t>(</m:t>
                    </m:r>
                    <m:r>
                      <a:rPr lang="en-US" sz="1100" b="0" i="1">
                        <a:latin typeface="Cambria Math" panose="02040503050406030204" pitchFamily="18" charset="0"/>
                      </a:rPr>
                      <m:t>𝐹𝑢𝑡𝑢𝑟𝑒</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𝐹𝑢𝑡𝑢𝑟𝑒</m:t>
                            </m:r>
                          </m:sub>
                        </m:sSub>
                      </m:den>
                    </m:f>
                  </m:oMath>
                </m:oMathPara>
              </a14:m>
              <a:endParaRPr lang="en-US" sz="1100"/>
            </a:p>
          </xdr:txBody>
        </xdr:sp>
      </mc:Choice>
      <mc:Fallback xmlns="">
        <xdr:sp macro="" textlink="">
          <xdr:nvSpPr>
            <xdr:cNvPr id="38" name="TextBox 37">
              <a:extLst>
                <a:ext uri="{FF2B5EF4-FFF2-40B4-BE49-F238E27FC236}">
                  <a16:creationId xmlns:a16="http://schemas.microsoft.com/office/drawing/2014/main" id="{64B66F03-8D9A-8547-817F-2B1EAD650007}"/>
                </a:ext>
              </a:extLst>
            </xdr:cNvPr>
            <xdr:cNvSpPr txBox="1"/>
          </xdr:nvSpPr>
          <xdr:spPr>
            <a:xfrm>
              <a:off x="13519588032" y="27104974"/>
              <a:ext cx="2279768"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𝐹𝑢𝑡𝑢𝑟𝑒)=𝑃_𝑆/(𝐸𝑃𝑆_𝐹𝑢𝑡𝑢𝑟𝑒 )</a:t>
              </a:r>
              <a:endParaRPr lang="en-US" sz="1100"/>
            </a:p>
          </xdr:txBody>
        </xdr:sp>
      </mc:Fallback>
    </mc:AlternateContent>
    <xdr:clientData/>
  </xdr:oneCellAnchor>
  <xdr:oneCellAnchor>
    <xdr:from>
      <xdr:col>0</xdr:col>
      <xdr:colOff>457200</xdr:colOff>
      <xdr:row>577</xdr:row>
      <xdr:rowOff>168274</xdr:rowOff>
    </xdr:from>
    <xdr:ext cx="2279768" cy="317972"/>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F9CCC0CE-295A-0745-AC92-73C300BFE8C4}"/>
                </a:ext>
              </a:extLst>
            </xdr:cNvPr>
            <xdr:cNvSpPr txBox="1"/>
          </xdr:nvSpPr>
          <xdr:spPr>
            <a:xfrm>
              <a:off x="13522255032" y="27600274"/>
              <a:ext cx="2279768"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d>
                      <m:dPr>
                        <m:ctrlPr>
                          <a:rPr lang="he-IL" sz="1100" b="0" i="1">
                            <a:latin typeface="Cambria Math" panose="02040503050406030204" pitchFamily="18" charset="0"/>
                          </a:rPr>
                        </m:ctrlPr>
                      </m:dPr>
                      <m:e>
                        <m:r>
                          <a:rPr lang="en-US" sz="1100" b="0" i="1">
                            <a:latin typeface="Cambria Math" panose="02040503050406030204" pitchFamily="18" charset="0"/>
                          </a:rPr>
                          <m:t>𝐻𝑖𝑠𝑡𝑜𝑟𝑖𝑐</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m:t>
                        </m:r>
                      </m:num>
                      <m:den>
                        <m:r>
                          <a:rPr lang="en-US" sz="1100" b="0" i="1">
                            <a:latin typeface="Cambria Math" panose="02040503050406030204" pitchFamily="18" charset="0"/>
                          </a:rPr>
                          <m:t>5</m:t>
                        </m:r>
                      </m:den>
                    </m:f>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F9CCC0CE-295A-0745-AC92-73C300BFE8C4}"/>
                </a:ext>
              </a:extLst>
            </xdr:cNvPr>
            <xdr:cNvSpPr txBox="1"/>
          </xdr:nvSpPr>
          <xdr:spPr>
            <a:xfrm>
              <a:off x="13522255032" y="27600274"/>
              <a:ext cx="2279768"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𝐻𝑖𝑠𝑡𝑜𝑟𝑖𝑐)=40/5=8</a:t>
              </a:r>
              <a:endParaRPr lang="en-US" sz="1100"/>
            </a:p>
          </xdr:txBody>
        </xdr:sp>
      </mc:Fallback>
    </mc:AlternateContent>
    <xdr:clientData/>
  </xdr:oneCellAnchor>
  <xdr:oneCellAnchor>
    <xdr:from>
      <xdr:col>3</xdr:col>
      <xdr:colOff>660400</xdr:colOff>
      <xdr:row>577</xdr:row>
      <xdr:rowOff>161924</xdr:rowOff>
    </xdr:from>
    <xdr:ext cx="2279768" cy="316882"/>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0CACC224-3F7F-5944-AAB4-B0A5823030B0}"/>
                </a:ext>
              </a:extLst>
            </xdr:cNvPr>
            <xdr:cNvSpPr txBox="1"/>
          </xdr:nvSpPr>
          <xdr:spPr>
            <a:xfrm>
              <a:off x="13519575332" y="27593924"/>
              <a:ext cx="2279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d>
                      <m:dPr>
                        <m:ctrlPr>
                          <a:rPr lang="he-IL" sz="1100" b="0" i="1">
                            <a:latin typeface="Cambria Math" panose="02040503050406030204" pitchFamily="18" charset="0"/>
                          </a:rPr>
                        </m:ctrlPr>
                      </m:dPr>
                      <m:e>
                        <m:r>
                          <a:rPr lang="en-US" sz="1100" b="0" i="1">
                            <a:latin typeface="Cambria Math" panose="02040503050406030204" pitchFamily="18" charset="0"/>
                          </a:rPr>
                          <m:t>𝐹𝑢𝑡𝑢𝑟𝑒</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m:t>
                        </m:r>
                      </m:num>
                      <m:den>
                        <m:r>
                          <a:rPr lang="en-US" sz="1100" b="0" i="1">
                            <a:latin typeface="Cambria Math" panose="02040503050406030204" pitchFamily="18" charset="0"/>
                          </a:rPr>
                          <m:t>10</m:t>
                        </m:r>
                      </m:den>
                    </m:f>
                    <m:r>
                      <a:rPr lang="en-US" sz="1100" b="0" i="1">
                        <a:latin typeface="Cambria Math" panose="02040503050406030204" pitchFamily="18" charset="0"/>
                      </a:rPr>
                      <m:t>=4</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0CACC224-3F7F-5944-AAB4-B0A5823030B0}"/>
                </a:ext>
              </a:extLst>
            </xdr:cNvPr>
            <xdr:cNvSpPr txBox="1"/>
          </xdr:nvSpPr>
          <xdr:spPr>
            <a:xfrm>
              <a:off x="13519575332" y="27593924"/>
              <a:ext cx="2279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a:t>
              </a:r>
              <a:r>
                <a:rPr lang="he-IL" sz="1100" b="0" i="0">
                  <a:latin typeface="Cambria Math" panose="02040503050406030204" pitchFamily="18" charset="0"/>
                </a:rPr>
                <a:t>(</a:t>
              </a:r>
              <a:r>
                <a:rPr lang="en-US" sz="1100" b="0" i="0">
                  <a:latin typeface="Cambria Math" panose="02040503050406030204" pitchFamily="18" charset="0"/>
                </a:rPr>
                <a:t>𝐹𝑢𝑡𝑢𝑟𝑒)=40/10=4</a:t>
              </a:r>
              <a:endParaRPr lang="en-US" sz="1100"/>
            </a:p>
          </xdr:txBody>
        </xdr:sp>
      </mc:Fallback>
    </mc:AlternateContent>
    <xdr:clientData/>
  </xdr:oneCellAnchor>
  <xdr:oneCellAnchor>
    <xdr:from>
      <xdr:col>4</xdr:col>
      <xdr:colOff>679450</xdr:colOff>
      <xdr:row>629</xdr:row>
      <xdr:rowOff>22224</xdr:rowOff>
    </xdr:from>
    <xdr:ext cx="1193918" cy="17209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ED01108E-79DE-D545-81E4-4C10B7AA0663}"/>
                </a:ext>
              </a:extLst>
            </xdr:cNvPr>
            <xdr:cNvSpPr txBox="1"/>
          </xdr:nvSpPr>
          <xdr:spPr>
            <a:xfrm>
              <a:off x="13519816632" y="37817424"/>
              <a:ext cx="11939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=10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ED01108E-79DE-D545-81E4-4C10B7AA0663}"/>
                </a:ext>
              </a:extLst>
            </xdr:cNvPr>
            <xdr:cNvSpPr txBox="1"/>
          </xdr:nvSpPr>
          <xdr:spPr>
            <a:xfrm>
              <a:off x="13519816632" y="37817424"/>
              <a:ext cx="11939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𝑃_𝑆=10</a:t>
              </a:r>
              <a:endParaRPr lang="en-US" sz="1100"/>
            </a:p>
          </xdr:txBody>
        </xdr:sp>
      </mc:Fallback>
    </mc:AlternateContent>
    <xdr:clientData/>
  </xdr:oneCellAnchor>
  <xdr:oneCellAnchor>
    <xdr:from>
      <xdr:col>3</xdr:col>
      <xdr:colOff>38100</xdr:colOff>
      <xdr:row>632</xdr:row>
      <xdr:rowOff>63500</xdr:rowOff>
    </xdr:from>
    <xdr:ext cx="2641718" cy="324641"/>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7FBA4F6B-BEF7-9446-8E35-C53BC30C8810}"/>
                </a:ext>
              </a:extLst>
            </xdr:cNvPr>
            <xdr:cNvSpPr txBox="1"/>
          </xdr:nvSpPr>
          <xdr:spPr>
            <a:xfrm>
              <a:off x="13519835682" y="38468300"/>
              <a:ext cx="26417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0.8</m:t>
                        </m:r>
                      </m:num>
                      <m:den>
                        <m:r>
                          <a:rPr lang="he-IL" sz="1100" b="0" i="1">
                            <a:latin typeface="Cambria Math" panose="02040503050406030204" pitchFamily="18" charset="0"/>
                          </a:rPr>
                          <m:t>10%</m:t>
                        </m:r>
                      </m:den>
                    </m:f>
                    <m:r>
                      <a:rPr lang="he-IL" sz="1100" b="0" i="1">
                        <a:latin typeface="Cambria Math" panose="02040503050406030204" pitchFamily="18" charset="0"/>
                      </a:rPr>
                      <m:t>=8</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7FBA4F6B-BEF7-9446-8E35-C53BC30C8810}"/>
                </a:ext>
              </a:extLst>
            </xdr:cNvPr>
            <xdr:cNvSpPr txBox="1"/>
          </xdr:nvSpPr>
          <xdr:spPr>
            <a:xfrm>
              <a:off x="13519835682" y="38468300"/>
              <a:ext cx="2641718"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a:t>
              </a:r>
              <a:r>
                <a:rPr lang="he-IL" sz="1100" b="0" i="0">
                  <a:latin typeface="Cambria Math" panose="02040503050406030204" pitchFamily="18" charset="0"/>
                </a:rPr>
                <a:t>=</a:t>
              </a:r>
              <a:r>
                <a:rPr lang="en-US" sz="1100" b="0" i="0">
                  <a:latin typeface="Cambria Math" panose="02040503050406030204" pitchFamily="18" charset="0"/>
                </a:rPr>
                <a:t>𝐸𝑃𝑆</a:t>
              </a:r>
              <a:r>
                <a:rPr lang="he-IL" sz="1100" b="0" i="0">
                  <a:latin typeface="Cambria Math" panose="02040503050406030204" pitchFamily="18" charset="0"/>
                </a:rPr>
                <a:t>/</a:t>
              </a:r>
              <a:r>
                <a:rPr lang="en-US" sz="1100" b="0" i="0">
                  <a:latin typeface="Cambria Math" panose="02040503050406030204" pitchFamily="18" charset="0"/>
                </a:rPr>
                <a:t>𝑟→</a:t>
              </a:r>
              <a:r>
                <a:rPr lang="he-IL" sz="1100" b="0" i="0">
                  <a:latin typeface="Cambria Math" panose="02040503050406030204" pitchFamily="18" charset="0"/>
                </a:rPr>
                <a:t>0.8/(10%)=8</a:t>
              </a:r>
              <a:endParaRPr lang="en-US" sz="1100"/>
            </a:p>
          </xdr:txBody>
        </xdr:sp>
      </mc:Fallback>
    </mc:AlternateContent>
    <xdr:clientData/>
  </xdr:oneCellAnchor>
  <xdr:oneCellAnchor>
    <xdr:from>
      <xdr:col>2</xdr:col>
      <xdr:colOff>571500</xdr:colOff>
      <xdr:row>637</xdr:row>
      <xdr:rowOff>114300</xdr:rowOff>
    </xdr:from>
    <xdr:ext cx="3194168" cy="172098"/>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09EADD27-BB45-8842-9C37-8B8F6F2B46B8}"/>
                </a:ext>
              </a:extLst>
            </xdr:cNvPr>
            <xdr:cNvSpPr txBox="1"/>
          </xdr:nvSpPr>
          <xdr:spPr>
            <a:xfrm>
              <a:off x="13519575332" y="39535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09EADD27-BB45-8842-9C37-8B8F6F2B46B8}"/>
                </a:ext>
              </a:extLst>
            </xdr:cNvPr>
            <xdr:cNvSpPr txBox="1"/>
          </xdr:nvSpPr>
          <xdr:spPr>
            <a:xfrm>
              <a:off x="13519575332" y="395351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𝑃𝑉𝐺𝑂=𝑃_𝑆−𝑃_𝑆 (𝑁𝑜 𝐺𝑟𝑜𝑤𝑡ℎ)</a:t>
              </a:r>
              <a:endParaRPr lang="en-US" sz="1100"/>
            </a:p>
          </xdr:txBody>
        </xdr:sp>
      </mc:Fallback>
    </mc:AlternateContent>
    <xdr:clientData/>
  </xdr:oneCellAnchor>
  <xdr:oneCellAnchor>
    <xdr:from>
      <xdr:col>3</xdr:col>
      <xdr:colOff>723900</xdr:colOff>
      <xdr:row>638</xdr:row>
      <xdr:rowOff>190500</xdr:rowOff>
    </xdr:from>
    <xdr:ext cx="1797050" cy="172098"/>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D0CAD9BE-3159-F64A-AAD3-2A83109B45D4}"/>
                </a:ext>
              </a:extLst>
            </xdr:cNvPr>
            <xdr:cNvSpPr txBox="1"/>
          </xdr:nvSpPr>
          <xdr:spPr>
            <a:xfrm>
              <a:off x="13519994550" y="39814500"/>
              <a:ext cx="1797050" cy="17209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=10−8=2</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D0CAD9BE-3159-F64A-AAD3-2A83109B45D4}"/>
                </a:ext>
              </a:extLst>
            </xdr:cNvPr>
            <xdr:cNvSpPr txBox="1"/>
          </xdr:nvSpPr>
          <xdr:spPr>
            <a:xfrm>
              <a:off x="13519994550" y="39814500"/>
              <a:ext cx="1797050" cy="17209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𝑃𝑉𝐺𝑂=10−8=2</a:t>
              </a:r>
              <a:endParaRPr lang="en-US" sz="1100"/>
            </a:p>
          </xdr:txBody>
        </xdr:sp>
      </mc:Fallback>
    </mc:AlternateContent>
    <xdr:clientData/>
  </xdr:oneCellAnchor>
  <xdr:oneCellAnchor>
    <xdr:from>
      <xdr:col>3</xdr:col>
      <xdr:colOff>781050</xdr:colOff>
      <xdr:row>643</xdr:row>
      <xdr:rowOff>98424</xdr:rowOff>
    </xdr:from>
    <xdr:ext cx="1828918" cy="34676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A54570EE-1102-A843-A0BA-C36E7E4709FB}"/>
                </a:ext>
              </a:extLst>
            </xdr:cNvPr>
            <xdr:cNvSpPr txBox="1"/>
          </xdr:nvSpPr>
          <xdr:spPr>
            <a:xfrm>
              <a:off x="13519905532" y="40738424"/>
              <a:ext cx="18289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𝑃𝑉𝐺𝑂</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10</m:t>
                        </m:r>
                      </m:den>
                    </m:f>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A54570EE-1102-A843-A0BA-C36E7E4709FB}"/>
                </a:ext>
              </a:extLst>
            </xdr:cNvPr>
            <xdr:cNvSpPr txBox="1"/>
          </xdr:nvSpPr>
          <xdr:spPr>
            <a:xfrm>
              <a:off x="13519905532" y="40738424"/>
              <a:ext cx="182891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a:t>
              </a:r>
              <a:r>
                <a:rPr lang="he-IL" sz="1100" b="0" i="0">
                  <a:latin typeface="Cambria Math" panose="02040503050406030204" pitchFamily="18" charset="0"/>
                </a:rPr>
                <a:t>/</a:t>
              </a:r>
              <a:r>
                <a:rPr lang="en-US" sz="1100" b="0" i="0">
                  <a:latin typeface="Cambria Math" panose="02040503050406030204" pitchFamily="18" charset="0"/>
                </a:rPr>
                <a:t>𝑃_𝑆 =2/10=20%</a:t>
              </a:r>
              <a:endParaRPr lang="en-US" sz="1100"/>
            </a:p>
          </xdr:txBody>
        </xdr:sp>
      </mc:Fallback>
    </mc:AlternateContent>
    <xdr:clientData/>
  </xdr:oneCellAnchor>
  <xdr:oneCellAnchor>
    <xdr:from>
      <xdr:col>1</xdr:col>
      <xdr:colOff>768350</xdr:colOff>
      <xdr:row>673</xdr:row>
      <xdr:rowOff>76200</xdr:rowOff>
    </xdr:from>
    <xdr:ext cx="4445000" cy="172098"/>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8C4E49A-08C4-C44E-A1DB-C5953E0E4841}"/>
                </a:ext>
              </a:extLst>
            </xdr:cNvPr>
            <xdr:cNvSpPr txBox="1"/>
          </xdr:nvSpPr>
          <xdr:spPr>
            <a:xfrm>
              <a:off x="13518953150" y="46812200"/>
              <a:ext cx="444500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31.12.2022</m:t>
                        </m:r>
                      </m:sub>
                    </m:sSub>
                    <m:r>
                      <a:rPr lang="en-US" sz="1100" b="0" i="1">
                        <a:latin typeface="Cambria Math" panose="02040503050406030204" pitchFamily="18" charset="0"/>
                      </a:rPr>
                      <m:t>=54.63635∗80%∗</m:t>
                    </m:r>
                    <m:d>
                      <m:dPr>
                        <m:ctrlPr>
                          <a:rPr lang="en-US" sz="1100" b="0" i="1">
                            <a:latin typeface="Cambria Math" panose="02040503050406030204" pitchFamily="18" charset="0"/>
                          </a:rPr>
                        </m:ctrlPr>
                      </m:dPr>
                      <m:e>
                        <m:r>
                          <a:rPr lang="en-US" sz="1100" b="0" i="1">
                            <a:latin typeface="Cambria Math" panose="02040503050406030204" pitchFamily="18" charset="0"/>
                          </a:rPr>
                          <m:t>1+3%</m:t>
                        </m:r>
                      </m:e>
                    </m:d>
                    <m:r>
                      <a:rPr lang="en-US" sz="1100" b="0" i="1">
                        <a:latin typeface="Cambria Math" panose="02040503050406030204" pitchFamily="18" charset="0"/>
                      </a:rPr>
                      <m:t>≈45.02</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8C4E49A-08C4-C44E-A1DB-C5953E0E4841}"/>
                </a:ext>
              </a:extLst>
            </xdr:cNvPr>
            <xdr:cNvSpPr txBox="1"/>
          </xdr:nvSpPr>
          <xdr:spPr>
            <a:xfrm>
              <a:off x="13518953150" y="46812200"/>
              <a:ext cx="444500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𝐷𝐼𝑉_1=𝐷𝐼𝑉_31.12.2022=54.63635∗80%∗(1+3%)≈45.02</a:t>
              </a:r>
              <a:endParaRPr lang="en-US" sz="1100"/>
            </a:p>
          </xdr:txBody>
        </xdr:sp>
      </mc:Fallback>
    </mc:AlternateContent>
    <xdr:clientData/>
  </xdr:oneCellAnchor>
  <xdr:twoCellAnchor>
    <xdr:from>
      <xdr:col>4</xdr:col>
      <xdr:colOff>654050</xdr:colOff>
      <xdr:row>674</xdr:row>
      <xdr:rowOff>57150</xdr:rowOff>
    </xdr:from>
    <xdr:to>
      <xdr:col>4</xdr:col>
      <xdr:colOff>660400</xdr:colOff>
      <xdr:row>675</xdr:row>
      <xdr:rowOff>95250</xdr:rowOff>
    </xdr:to>
    <xdr:cxnSp macro="">
      <xdr:nvCxnSpPr>
        <xdr:cNvPr id="47" name="Straight Arrow Connector 46">
          <a:extLst>
            <a:ext uri="{FF2B5EF4-FFF2-40B4-BE49-F238E27FC236}">
              <a16:creationId xmlns:a16="http://schemas.microsoft.com/office/drawing/2014/main" id="{F4A30245-8441-9146-A295-474D9F4892B1}"/>
            </a:ext>
          </a:extLst>
        </xdr:cNvPr>
        <xdr:cNvCxnSpPr/>
      </xdr:nvCxnSpPr>
      <xdr:spPr>
        <a:xfrm>
          <a:off x="13521029600" y="46996350"/>
          <a:ext cx="6350" cy="241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674</xdr:row>
      <xdr:rowOff>25400</xdr:rowOff>
    </xdr:from>
    <xdr:to>
      <xdr:col>4</xdr:col>
      <xdr:colOff>76200</xdr:colOff>
      <xdr:row>675</xdr:row>
      <xdr:rowOff>50800</xdr:rowOff>
    </xdr:to>
    <xdr:cxnSp macro="">
      <xdr:nvCxnSpPr>
        <xdr:cNvPr id="48" name="Straight Arrow Connector 47">
          <a:extLst>
            <a:ext uri="{FF2B5EF4-FFF2-40B4-BE49-F238E27FC236}">
              <a16:creationId xmlns:a16="http://schemas.microsoft.com/office/drawing/2014/main" id="{2E5C7766-2A3E-8B4E-BF27-DED2DE743672}"/>
            </a:ext>
          </a:extLst>
        </xdr:cNvPr>
        <xdr:cNvCxnSpPr/>
      </xdr:nvCxnSpPr>
      <xdr:spPr>
        <a:xfrm>
          <a:off x="13521613800" y="46964600"/>
          <a:ext cx="52070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222250</xdr:colOff>
      <xdr:row>674</xdr:row>
      <xdr:rowOff>50800</xdr:rowOff>
    </xdr:from>
    <xdr:to>
      <xdr:col>3</xdr:col>
      <xdr:colOff>158750</xdr:colOff>
      <xdr:row>675</xdr:row>
      <xdr:rowOff>6350</xdr:rowOff>
    </xdr:to>
    <xdr:cxnSp macro="">
      <xdr:nvCxnSpPr>
        <xdr:cNvPr id="49" name="Straight Arrow Connector 48">
          <a:extLst>
            <a:ext uri="{FF2B5EF4-FFF2-40B4-BE49-F238E27FC236}">
              <a16:creationId xmlns:a16="http://schemas.microsoft.com/office/drawing/2014/main" id="{7207323F-ED00-854A-A41B-C4282FF6C4F0}"/>
            </a:ext>
          </a:extLst>
        </xdr:cNvPr>
        <xdr:cNvCxnSpPr/>
      </xdr:nvCxnSpPr>
      <xdr:spPr>
        <a:xfrm>
          <a:off x="13522356750" y="46990000"/>
          <a:ext cx="762000" cy="1587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812800</xdr:colOff>
      <xdr:row>681</xdr:row>
      <xdr:rowOff>165100</xdr:rowOff>
    </xdr:from>
    <xdr:ext cx="4445000" cy="35112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451B4453-B3A5-5E4D-8E6C-F61C91A38A92}"/>
                </a:ext>
              </a:extLst>
            </xdr:cNvPr>
            <xdr:cNvSpPr txBox="1"/>
          </xdr:nvSpPr>
          <xdr:spPr>
            <a:xfrm>
              <a:off x="13519734200" y="48526700"/>
              <a:ext cx="444500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45.02</m:t>
                        </m:r>
                      </m:num>
                      <m:den>
                        <m:r>
                          <a:rPr lang="en-US" sz="1100" b="0" i="1">
                            <a:latin typeface="Cambria Math" panose="02040503050406030204" pitchFamily="18" charset="0"/>
                          </a:rPr>
                          <m:t>10%−3%</m:t>
                        </m:r>
                      </m:den>
                    </m:f>
                    <m:r>
                      <a:rPr lang="en-US" sz="1100" b="0" i="1">
                        <a:latin typeface="Cambria Math" panose="02040503050406030204" pitchFamily="18" charset="0"/>
                      </a:rPr>
                      <m:t>≈643.14</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451B4453-B3A5-5E4D-8E6C-F61C91A38A92}"/>
                </a:ext>
              </a:extLst>
            </xdr:cNvPr>
            <xdr:cNvSpPr txBox="1"/>
          </xdr:nvSpPr>
          <xdr:spPr>
            <a:xfrm>
              <a:off x="13519734200" y="48526700"/>
              <a:ext cx="4445000" cy="3511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𝑃_𝑆=𝐷𝐼𝑉/(𝑟−𝑔)→45.02/(10%−3%)≈643.14</a:t>
              </a:r>
              <a:endParaRPr lang="en-US" sz="1100"/>
            </a:p>
          </xdr:txBody>
        </xdr:sp>
      </mc:Fallback>
    </mc:AlternateContent>
    <xdr:clientData/>
  </xdr:oneCellAnchor>
  <xdr:oneCellAnchor>
    <xdr:from>
      <xdr:col>1</xdr:col>
      <xdr:colOff>730250</xdr:colOff>
      <xdr:row>688</xdr:row>
      <xdr:rowOff>53974</xdr:rowOff>
    </xdr:from>
    <xdr:ext cx="2654418" cy="328103"/>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26A99723-B0E9-AE4D-B352-4CDDA6C64B8E}"/>
                </a:ext>
              </a:extLst>
            </xdr:cNvPr>
            <xdr:cNvSpPr txBox="1"/>
          </xdr:nvSpPr>
          <xdr:spPr>
            <a:xfrm>
              <a:off x="13520781832" y="49837974"/>
              <a:ext cx="2654418"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m:t>
                        </m:r>
                        <m:r>
                          <a:rPr lang="en-US" sz="1100" b="0" i="1">
                            <a:latin typeface="Cambria Math" panose="02040503050406030204" pitchFamily="18" charset="0"/>
                          </a:rPr>
                          <m:t> </m:t>
                        </m:r>
                        <m:r>
                          <a:rPr lang="en-US" sz="1100" b="0" i="1">
                            <a:latin typeface="Cambria Math" panose="02040503050406030204" pitchFamily="18" charset="0"/>
                          </a:rPr>
                          <m:t>𝐺𝑟𝑜𝑤𝑡h</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10%</m:t>
                        </m:r>
                      </m:den>
                    </m:f>
                    <m:r>
                      <a:rPr lang="en-US" sz="1100" b="0" i="1">
                        <a:latin typeface="Cambria Math" panose="02040503050406030204" pitchFamily="18" charset="0"/>
                      </a:rPr>
                      <m:t>=500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26A99723-B0E9-AE4D-B352-4CDDA6C64B8E}"/>
                </a:ext>
              </a:extLst>
            </xdr:cNvPr>
            <xdr:cNvSpPr txBox="1"/>
          </xdr:nvSpPr>
          <xdr:spPr>
            <a:xfrm>
              <a:off x="13520781832" y="49837974"/>
              <a:ext cx="2654418"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 𝐺𝑟𝑜𝑤𝑡ℎ)=𝐸𝑃𝑆/𝑟=50/(10%)=500</a:t>
              </a:r>
              <a:endParaRPr lang="en-US" sz="1100"/>
            </a:p>
          </xdr:txBody>
        </xdr:sp>
      </mc:Fallback>
    </mc:AlternateContent>
    <xdr:clientData/>
  </xdr:oneCellAnchor>
  <xdr:oneCellAnchor>
    <xdr:from>
      <xdr:col>1</xdr:col>
      <xdr:colOff>603368</xdr:colOff>
      <xdr:row>690</xdr:row>
      <xdr:rowOff>190500</xdr:rowOff>
    </xdr:from>
    <xdr:ext cx="3194168" cy="172098"/>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B7E04DEF-649E-6348-90AD-7DE545FFEFDB}"/>
                </a:ext>
              </a:extLst>
            </xdr:cNvPr>
            <xdr:cNvSpPr txBox="1"/>
          </xdr:nvSpPr>
          <xdr:spPr>
            <a:xfrm>
              <a:off x="13520368964" y="503809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=643.14−500=143.14</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B7E04DEF-649E-6348-90AD-7DE545FFEFDB}"/>
                </a:ext>
              </a:extLst>
            </xdr:cNvPr>
            <xdr:cNvSpPr txBox="1"/>
          </xdr:nvSpPr>
          <xdr:spPr>
            <a:xfrm>
              <a:off x="13520368964" y="50380900"/>
              <a:ext cx="319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𝑃𝑉𝐺𝑂=643.14−500=143.14</a:t>
              </a:r>
              <a:endParaRPr lang="en-US" sz="1100"/>
            </a:p>
          </xdr:txBody>
        </xdr:sp>
      </mc:Fallback>
    </mc:AlternateContent>
    <xdr:clientData/>
  </xdr:oneCellAnchor>
  <xdr:oneCellAnchor>
    <xdr:from>
      <xdr:col>2</xdr:col>
      <xdr:colOff>520700</xdr:colOff>
      <xdr:row>719</xdr:row>
      <xdr:rowOff>57150</xdr:rowOff>
    </xdr:from>
    <xdr:ext cx="2571868" cy="17209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B16096EA-7DA4-3847-9E27-939C5100B820}"/>
                </a:ext>
              </a:extLst>
            </xdr:cNvPr>
            <xdr:cNvSpPr txBox="1"/>
          </xdr:nvSpPr>
          <xdr:spPr>
            <a:xfrm>
              <a:off x="13520248432" y="5614035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=3%+</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10%−3%</m:t>
                        </m:r>
                      </m:e>
                    </m:d>
                    <m:r>
                      <a:rPr lang="en-US" sz="1100" b="0" i="1">
                        <a:latin typeface="Cambria Math" panose="02040503050406030204" pitchFamily="18" charset="0"/>
                      </a:rPr>
                      <m:t>∗</m:t>
                    </m:r>
                    <m:r>
                      <a:rPr lang="he-IL" sz="1100" b="0" i="1">
                        <a:latin typeface="Cambria Math" panose="02040503050406030204" pitchFamily="18" charset="0"/>
                      </a:rPr>
                      <m:t>2=17%</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B16096EA-7DA4-3847-9E27-939C5100B820}"/>
                </a:ext>
              </a:extLst>
            </xdr:cNvPr>
            <xdr:cNvSpPr txBox="1"/>
          </xdr:nvSpPr>
          <xdr:spPr>
            <a:xfrm>
              <a:off x="13520248432" y="56140350"/>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𝑟=3%+[</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2=17%</a:t>
              </a:r>
              <a:endParaRPr lang="en-US" sz="1100"/>
            </a:p>
          </xdr:txBody>
        </xdr:sp>
      </mc:Fallback>
    </mc:AlternateContent>
    <xdr:clientData/>
  </xdr:oneCellAnchor>
  <xdr:oneCellAnchor>
    <xdr:from>
      <xdr:col>3</xdr:col>
      <xdr:colOff>793750</xdr:colOff>
      <xdr:row>753</xdr:row>
      <xdr:rowOff>142874</xdr:rowOff>
    </xdr:from>
    <xdr:ext cx="3543418" cy="172098"/>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3DCA46C4-7FDA-0040-A3DF-77E6C8ED1B7F}"/>
                </a:ext>
              </a:extLst>
            </xdr:cNvPr>
            <xdr:cNvSpPr txBox="1"/>
          </xdr:nvSpPr>
          <xdr:spPr>
            <a:xfrm>
              <a:off x="13518178332" y="63541274"/>
              <a:ext cx="35434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𝑁𝑒𝑤</m:t>
                        </m:r>
                      </m:e>
                    </m:d>
                    <m:r>
                      <a:rPr lang="en-US" sz="1100" b="0" i="1">
                        <a:latin typeface="Cambria Math" panose="02040503050406030204" pitchFamily="18" charset="0"/>
                      </a:rPr>
                      <m:t>=</m:t>
                    </m:r>
                    <m:r>
                      <a:rPr lang="en-US" sz="1100" b="0" i="1">
                        <a:latin typeface="Cambria Math" panose="02040503050406030204" pitchFamily="18" charset="0"/>
                      </a:rPr>
                      <m:t>𝐸𝑃𝑆</m:t>
                    </m:r>
                    <m:d>
                      <m:dPr>
                        <m:ctrlPr>
                          <a:rPr lang="en-US" sz="1100" b="0" i="1">
                            <a:latin typeface="Cambria Math" panose="02040503050406030204" pitchFamily="18" charset="0"/>
                          </a:rPr>
                        </m:ctrlPr>
                      </m:dPr>
                      <m:e>
                        <m:r>
                          <a:rPr lang="en-US" sz="1100" b="0" i="1">
                            <a:latin typeface="Cambria Math" panose="02040503050406030204" pitchFamily="18" charset="0"/>
                          </a:rPr>
                          <m:t>𝑁𝑒𝑤</m:t>
                        </m:r>
                      </m:e>
                    </m:d>
                    <m:r>
                      <a:rPr lang="en-US" sz="1100" b="0" i="1">
                        <a:latin typeface="Cambria Math" panose="02040503050406030204" pitchFamily="18" charset="0"/>
                      </a:rPr>
                      <m:t>∗</m:t>
                    </m:r>
                    <m:r>
                      <a:rPr lang="en-US" sz="1100" b="0" i="1">
                        <a:latin typeface="Cambria Math" panose="02040503050406030204" pitchFamily="18" charset="0"/>
                      </a:rPr>
                      <m:t>𝐴𝑣𝑒𝑟𝑎𝑔𝑒𝑃𝐸</m:t>
                    </m:r>
                    <m:r>
                      <a:rPr lang="en-US" sz="1100" b="0" i="1">
                        <a:latin typeface="Cambria Math" panose="02040503050406030204" pitchFamily="18" charset="0"/>
                      </a:rPr>
                      <m:t>(</m:t>
                    </m:r>
                    <m:r>
                      <a:rPr lang="en-US" sz="1100" b="0" i="1">
                        <a:latin typeface="Cambria Math" panose="02040503050406030204" pitchFamily="18" charset="0"/>
                      </a:rPr>
                      <m:t>𝐶𝑜𝑚𝑝𝑒𝑡𝑖𝑡𝑜𝑟𝑠</m:t>
                    </m:r>
                    <m:r>
                      <a:rPr lang="en-US" sz="1100" b="0" i="1">
                        <a:latin typeface="Cambria Math" panose="02040503050406030204" pitchFamily="18" charset="0"/>
                      </a:rPr>
                      <m:t>)</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3DCA46C4-7FDA-0040-A3DF-77E6C8ED1B7F}"/>
                </a:ext>
              </a:extLst>
            </xdr:cNvPr>
            <xdr:cNvSpPr txBox="1"/>
          </xdr:nvSpPr>
          <xdr:spPr>
            <a:xfrm>
              <a:off x="13518178332" y="63541274"/>
              <a:ext cx="354341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(𝑁𝑒𝑤)=𝐸𝑃𝑆(𝑁𝑒𝑤)∗𝐴𝑣𝑒𝑟𝑎𝑔𝑒𝑃𝐸(𝐶𝑜𝑚𝑝𝑒𝑡𝑖𝑡𝑜𝑟𝑠)</a:t>
              </a:r>
              <a:endParaRPr lang="en-US" sz="1100"/>
            </a:p>
          </xdr:txBody>
        </xdr:sp>
      </mc:Fallback>
    </mc:AlternateContent>
    <xdr:clientData/>
  </xdr:oneCellAnchor>
  <xdr:twoCellAnchor editAs="oneCell">
    <xdr:from>
      <xdr:col>4</xdr:col>
      <xdr:colOff>627367</xdr:colOff>
      <xdr:row>391</xdr:row>
      <xdr:rowOff>79951</xdr:rowOff>
    </xdr:from>
    <xdr:to>
      <xdr:col>7</xdr:col>
      <xdr:colOff>157467</xdr:colOff>
      <xdr:row>401</xdr:row>
      <xdr:rowOff>118051</xdr:rowOff>
    </xdr:to>
    <xdr:pic>
      <xdr:nvPicPr>
        <xdr:cNvPr id="60" name="Picture 59">
          <a:extLst>
            <a:ext uri="{FF2B5EF4-FFF2-40B4-BE49-F238E27FC236}">
              <a16:creationId xmlns:a16="http://schemas.microsoft.com/office/drawing/2014/main" id="{6CB398C2-0D6A-85E8-BA1D-77E467BB0283}"/>
            </a:ext>
          </a:extLst>
        </xdr:cNvPr>
        <xdr:cNvPicPr>
          <a:picLocks noChangeAspect="1"/>
        </xdr:cNvPicPr>
      </xdr:nvPicPr>
      <xdr:blipFill>
        <a:blip xmlns:r="http://schemas.openxmlformats.org/officeDocument/2006/relationships" r:embed="rId1"/>
        <a:stretch>
          <a:fillRect/>
        </a:stretch>
      </xdr:blipFill>
      <xdr:spPr>
        <a:xfrm>
          <a:off x="13524444320" y="78977878"/>
          <a:ext cx="2043779" cy="2077997"/>
        </a:xfrm>
        <a:prstGeom prst="rect">
          <a:avLst/>
        </a:prstGeom>
      </xdr:spPr>
    </xdr:pic>
    <xdr:clientData/>
  </xdr:twoCellAnchor>
  <xdr:twoCellAnchor editAs="oneCell">
    <xdr:from>
      <xdr:col>0</xdr:col>
      <xdr:colOff>146412</xdr:colOff>
      <xdr:row>391</xdr:row>
      <xdr:rowOff>28690</xdr:rowOff>
    </xdr:from>
    <xdr:to>
      <xdr:col>3</xdr:col>
      <xdr:colOff>214145</xdr:colOff>
      <xdr:row>401</xdr:row>
      <xdr:rowOff>155690</xdr:rowOff>
    </xdr:to>
    <xdr:pic>
      <xdr:nvPicPr>
        <xdr:cNvPr id="61" name="Picture 60">
          <a:extLst>
            <a:ext uri="{FF2B5EF4-FFF2-40B4-BE49-F238E27FC236}">
              <a16:creationId xmlns:a16="http://schemas.microsoft.com/office/drawing/2014/main" id="{FA3E262D-69E3-5D9B-275D-752E1A90B0AE}"/>
            </a:ext>
          </a:extLst>
        </xdr:cNvPr>
        <xdr:cNvPicPr>
          <a:picLocks noChangeAspect="1"/>
        </xdr:cNvPicPr>
      </xdr:nvPicPr>
      <xdr:blipFill>
        <a:blip xmlns:r="http://schemas.openxmlformats.org/officeDocument/2006/relationships" r:embed="rId2"/>
        <a:stretch>
          <a:fillRect/>
        </a:stretch>
      </xdr:blipFill>
      <xdr:spPr>
        <a:xfrm>
          <a:off x="13527727150" y="78926617"/>
          <a:ext cx="2581412" cy="2166897"/>
        </a:xfrm>
        <a:prstGeom prst="rect">
          <a:avLst/>
        </a:prstGeom>
      </xdr:spPr>
    </xdr:pic>
    <xdr:clientData/>
  </xdr:twoCellAnchor>
  <xdr:oneCellAnchor>
    <xdr:from>
      <xdr:col>1</xdr:col>
      <xdr:colOff>177395</xdr:colOff>
      <xdr:row>11</xdr:row>
      <xdr:rowOff>24211</xdr:rowOff>
    </xdr:from>
    <xdr:ext cx="2260600" cy="346570"/>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03724B6A-D792-2D49-9A27-2D18E18726E5}"/>
                </a:ext>
              </a:extLst>
            </xdr:cNvPr>
            <xdr:cNvSpPr txBox="1"/>
          </xdr:nvSpPr>
          <xdr:spPr>
            <a:xfrm>
              <a:off x="13521804705" y="83808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62" name="TextBox 61">
              <a:extLst>
                <a:ext uri="{FF2B5EF4-FFF2-40B4-BE49-F238E27FC236}">
                  <a16:creationId xmlns:a16="http://schemas.microsoft.com/office/drawing/2014/main" id="{03724B6A-D792-2D49-9A27-2D18E18726E5}"/>
                </a:ext>
              </a:extLst>
            </xdr:cNvPr>
            <xdr:cNvSpPr txBox="1"/>
          </xdr:nvSpPr>
          <xdr:spPr>
            <a:xfrm>
              <a:off x="13521804705" y="8380811"/>
              <a:ext cx="22606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0</xdr:col>
      <xdr:colOff>546100</xdr:colOff>
      <xdr:row>16</xdr:row>
      <xdr:rowOff>120650</xdr:rowOff>
    </xdr:from>
    <xdr:ext cx="3327518" cy="345672"/>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1F9C3C63-9110-8549-9FCE-4541387B291A}"/>
                </a:ext>
              </a:extLst>
            </xdr:cNvPr>
            <xdr:cNvSpPr txBox="1"/>
          </xdr:nvSpPr>
          <xdr:spPr>
            <a:xfrm>
              <a:off x="13521194582" y="94932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1F9C3C63-9110-8549-9FCE-4541387B291A}"/>
                </a:ext>
              </a:extLst>
            </xdr:cNvPr>
            <xdr:cNvSpPr txBox="1"/>
          </xdr:nvSpPr>
          <xdr:spPr>
            <a:xfrm>
              <a:off x="13521194582" y="94932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𝑟=𝑔+𝐷𝐼𝑉/𝑃_𝑆 </a:t>
              </a:r>
              <a:endParaRPr lang="en-US" sz="1100"/>
            </a:p>
          </xdr:txBody>
        </xdr:sp>
      </mc:Fallback>
    </mc:AlternateContent>
    <xdr:clientData/>
  </xdr:oneCellAnchor>
  <xdr:oneCellAnchor>
    <xdr:from>
      <xdr:col>0</xdr:col>
      <xdr:colOff>533400</xdr:colOff>
      <xdr:row>20</xdr:row>
      <xdr:rowOff>184150</xdr:rowOff>
    </xdr:from>
    <xdr:ext cx="3327518" cy="345672"/>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377C418-F5A1-A248-92B3-263B40B1CBD1}"/>
                </a:ext>
              </a:extLst>
            </xdr:cNvPr>
            <xdr:cNvSpPr txBox="1"/>
          </xdr:nvSpPr>
          <xdr:spPr>
            <a:xfrm>
              <a:off x="13521207282" y="103695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4" name="TextBox 63">
              <a:extLst>
                <a:ext uri="{FF2B5EF4-FFF2-40B4-BE49-F238E27FC236}">
                  <a16:creationId xmlns:a16="http://schemas.microsoft.com/office/drawing/2014/main" id="{7377C418-F5A1-A248-92B3-263B40B1CBD1}"/>
                </a:ext>
              </a:extLst>
            </xdr:cNvPr>
            <xdr:cNvSpPr txBox="1"/>
          </xdr:nvSpPr>
          <xdr:spPr>
            <a:xfrm>
              <a:off x="13521207282" y="1036955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𝑔=𝑟−𝐷𝐼𝑉/𝑃_𝑆 </a:t>
              </a:r>
              <a:endParaRPr lang="en-US" sz="1100"/>
            </a:p>
          </xdr:txBody>
        </xdr:sp>
      </mc:Fallback>
    </mc:AlternateContent>
    <xdr:clientData/>
  </xdr:oneCellAnchor>
  <xdr:oneCellAnchor>
    <xdr:from>
      <xdr:col>0</xdr:col>
      <xdr:colOff>594360</xdr:colOff>
      <xdr:row>25</xdr:row>
      <xdr:rowOff>1270</xdr:rowOff>
    </xdr:from>
    <xdr:ext cx="3327518" cy="34567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8307CAE-5D30-644C-AE9B-E8F1F048C6C3}"/>
                </a:ext>
              </a:extLst>
            </xdr:cNvPr>
            <xdr:cNvSpPr txBox="1"/>
          </xdr:nvSpPr>
          <xdr:spPr>
            <a:xfrm>
              <a:off x="13521146322" y="1120267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𝐷𝑌</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28307CAE-5D30-644C-AE9B-E8F1F048C6C3}"/>
                </a:ext>
              </a:extLst>
            </xdr:cNvPr>
            <xdr:cNvSpPr txBox="1"/>
          </xdr:nvSpPr>
          <xdr:spPr>
            <a:xfrm>
              <a:off x="13521146322" y="11202670"/>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𝐷𝑌=𝐷𝐼𝑉/𝑃_𝑆 </a:t>
              </a:r>
              <a:endParaRPr lang="en-US" sz="1100"/>
            </a:p>
          </xdr:txBody>
        </xdr:sp>
      </mc:Fallback>
    </mc:AlternateContent>
    <xdr:clientData/>
  </xdr:oneCellAnchor>
  <xdr:oneCellAnchor>
    <xdr:from>
      <xdr:col>0</xdr:col>
      <xdr:colOff>584200</xdr:colOff>
      <xdr:row>28</xdr:row>
      <xdr:rowOff>173990</xdr:rowOff>
    </xdr:from>
    <xdr:ext cx="3327518" cy="31579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EE40B33F-6C75-6749-9A7D-C1DA32CC86B7}"/>
                </a:ext>
              </a:extLst>
            </xdr:cNvPr>
            <xdr:cNvSpPr txBox="1"/>
          </xdr:nvSpPr>
          <xdr:spPr>
            <a:xfrm>
              <a:off x="13521156482" y="1198499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𝑃𝐸</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num>
                      <m:den>
                        <m:r>
                          <a:rPr lang="en-US" sz="1100" b="0" i="1">
                            <a:latin typeface="Cambria Math" panose="02040503050406030204" pitchFamily="18" charset="0"/>
                          </a:rPr>
                          <m:t>𝐸𝑃𝑆</m:t>
                        </m:r>
                      </m:den>
                    </m:f>
                  </m:oMath>
                </m:oMathPara>
              </a14:m>
              <a:endParaRPr lang="en-US" sz="1100"/>
            </a:p>
          </xdr:txBody>
        </xdr:sp>
      </mc:Choice>
      <mc:Fallback xmlns="">
        <xdr:sp macro="" textlink="">
          <xdr:nvSpPr>
            <xdr:cNvPr id="66" name="TextBox 65">
              <a:extLst>
                <a:ext uri="{FF2B5EF4-FFF2-40B4-BE49-F238E27FC236}">
                  <a16:creationId xmlns:a16="http://schemas.microsoft.com/office/drawing/2014/main" id="{EE40B33F-6C75-6749-9A7D-C1DA32CC86B7}"/>
                </a:ext>
              </a:extLst>
            </xdr:cNvPr>
            <xdr:cNvSpPr txBox="1"/>
          </xdr:nvSpPr>
          <xdr:spPr>
            <a:xfrm>
              <a:off x="13521156482" y="11984990"/>
              <a:ext cx="332751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𝑃𝐸=𝑃_𝑆</a:t>
              </a:r>
              <a:r>
                <a:rPr lang="he-IL" sz="1100" b="0" i="0">
                  <a:latin typeface="Cambria Math" panose="02040503050406030204" pitchFamily="18" charset="0"/>
                </a:rPr>
                <a:t>/</a:t>
              </a:r>
              <a:r>
                <a:rPr lang="en-US" sz="1100" b="0" i="0">
                  <a:latin typeface="Cambria Math" panose="02040503050406030204" pitchFamily="18" charset="0"/>
                </a:rPr>
                <a:t>𝐸𝑃𝑆</a:t>
              </a:r>
              <a:endParaRPr lang="en-US" sz="1100"/>
            </a:p>
          </xdr:txBody>
        </xdr:sp>
      </mc:Fallback>
    </mc:AlternateContent>
    <xdr:clientData/>
  </xdr:oneCellAnchor>
  <xdr:oneCellAnchor>
    <xdr:from>
      <xdr:col>1</xdr:col>
      <xdr:colOff>568960</xdr:colOff>
      <xdr:row>33</xdr:row>
      <xdr:rowOff>121920</xdr:rowOff>
    </xdr:from>
    <xdr:ext cx="153046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EC97929C-66BE-134C-A29A-F478B256CC47}"/>
                </a:ext>
              </a:extLst>
            </xdr:cNvPr>
            <xdr:cNvSpPr txBox="1"/>
          </xdr:nvSpPr>
          <xdr:spPr>
            <a:xfrm>
              <a:off x="13522143272" y="1294892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𝐷𝑌</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m:t>
                    </m:r>
                    <m:r>
                      <a:rPr lang="en-US" sz="1100" b="0" i="1">
                        <a:latin typeface="Cambria Math" panose="02040503050406030204" pitchFamily="18" charset="0"/>
                      </a:rPr>
                      <m:t>𝑔</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EC97929C-66BE-134C-A29A-F478B256CC47}"/>
                </a:ext>
              </a:extLst>
            </xdr:cNvPr>
            <xdr:cNvSpPr txBox="1"/>
          </xdr:nvSpPr>
          <xdr:spPr>
            <a:xfrm>
              <a:off x="13522143272" y="12948920"/>
              <a:ext cx="15304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𝑟=𝐷𝑌∗(1+𝑔)+𝑔</a:t>
              </a:r>
              <a:endParaRPr lang="en-US" sz="1100"/>
            </a:p>
          </xdr:txBody>
        </xdr:sp>
      </mc:Fallback>
    </mc:AlternateContent>
    <xdr:clientData/>
  </xdr:oneCellAnchor>
  <xdr:oneCellAnchor>
    <xdr:from>
      <xdr:col>1</xdr:col>
      <xdr:colOff>287867</xdr:colOff>
      <xdr:row>37</xdr:row>
      <xdr:rowOff>182033</xdr:rowOff>
    </xdr:from>
    <xdr:ext cx="3867268"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E2B53A4-A774-BA1E-300B-B5ABADECD2C8}"/>
                </a:ext>
              </a:extLst>
            </xdr:cNvPr>
            <xdr:cNvSpPr txBox="1"/>
          </xdr:nvSpPr>
          <xdr:spPr>
            <a:xfrm>
              <a:off x="13589399932" y="7734300"/>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6E2B53A4-A774-BA1E-300B-B5ABADECD2C8}"/>
                </a:ext>
              </a:extLst>
            </xdr:cNvPr>
            <xdr:cNvSpPr txBox="1"/>
          </xdr:nvSpPr>
          <xdr:spPr>
            <a:xfrm>
              <a:off x="13589399932" y="7734300"/>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oneCellAnchor>
    <xdr:from>
      <xdr:col>2</xdr:col>
      <xdr:colOff>186267</xdr:colOff>
      <xdr:row>48</xdr:row>
      <xdr:rowOff>4233</xdr:rowOff>
    </xdr:from>
    <xdr:ext cx="310526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6CD51420-C82B-D31E-7A9E-A957FBFD2A48}"/>
                </a:ext>
              </a:extLst>
            </xdr:cNvPr>
            <xdr:cNvSpPr txBox="1"/>
          </xdr:nvSpPr>
          <xdr:spPr>
            <a:xfrm>
              <a:off x="13589433798" y="9791700"/>
              <a:ext cx="3105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
                      <m:dPr>
                        <m:ctrlPr>
                          <a:rPr lang="en-US" sz="1100" b="0" i="1">
                            <a:latin typeface="Cambria Math" panose="02040503050406030204" pitchFamily="18" charset="0"/>
                          </a:rPr>
                        </m:ctrlPr>
                      </m:dPr>
                      <m:e>
                        <m:r>
                          <a:rPr lang="en-US" sz="1100" b="0" i="1">
                            <a:latin typeface="Cambria Math" panose="02040503050406030204" pitchFamily="18" charset="0"/>
                          </a:rPr>
                          <m:t>𝐺𝑟𝑜𝑤𝑡h</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𝑁𝑜𝐺𝑟𝑜𝑤𝑡h</m:t>
                    </m:r>
                    <m:r>
                      <a:rPr lang="en-US" sz="1100" b="0" i="1">
                        <a:latin typeface="Cambria Math" panose="02040503050406030204" pitchFamily="18" charset="0"/>
                      </a:rPr>
                      <m:t>)</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6CD51420-C82B-D31E-7A9E-A957FBFD2A48}"/>
                </a:ext>
              </a:extLst>
            </xdr:cNvPr>
            <xdr:cNvSpPr txBox="1"/>
          </xdr:nvSpPr>
          <xdr:spPr>
            <a:xfrm>
              <a:off x="13589433798" y="9791700"/>
              <a:ext cx="3105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 (𝐺𝑟𝑜𝑤𝑡ℎ)−𝑃_𝑆 (𝑁𝑜𝐺𝑟𝑜𝑤𝑡ℎ)</a:t>
              </a:r>
              <a:endParaRPr lang="en-US" sz="1100"/>
            </a:p>
          </xdr:txBody>
        </xdr:sp>
      </mc:Fallback>
    </mc:AlternateContent>
    <xdr:clientData/>
  </xdr:oneCellAnchor>
  <xdr:oneCellAnchor>
    <xdr:from>
      <xdr:col>2</xdr:col>
      <xdr:colOff>203200</xdr:colOff>
      <xdr:row>49</xdr:row>
      <xdr:rowOff>38100</xdr:rowOff>
    </xdr:from>
    <xdr:ext cx="3105268" cy="346570"/>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E7D2EDD-A3B8-0173-4F6C-4DC6D41195D6}"/>
                </a:ext>
              </a:extLst>
            </xdr:cNvPr>
            <xdr:cNvSpPr txBox="1"/>
          </xdr:nvSpPr>
          <xdr:spPr>
            <a:xfrm>
              <a:off x="13589416865" y="10028767"/>
              <a:ext cx="3105268"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70" name="TextBox 69">
              <a:extLst>
                <a:ext uri="{FF2B5EF4-FFF2-40B4-BE49-F238E27FC236}">
                  <a16:creationId xmlns:a16="http://schemas.microsoft.com/office/drawing/2014/main" id="{DE7D2EDD-A3B8-0173-4F6C-4DC6D41195D6}"/>
                </a:ext>
              </a:extLst>
            </xdr:cNvPr>
            <xdr:cNvSpPr txBox="1"/>
          </xdr:nvSpPr>
          <xdr:spPr>
            <a:xfrm>
              <a:off x="13589416865" y="10028767"/>
              <a:ext cx="3105268"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𝑃𝑉𝐺𝑂=𝐷𝑖𝑣/(𝑟−𝑔)−𝐸𝑃𝑆/𝑟</a:t>
              </a:r>
              <a:endParaRPr lang="en-US" sz="1100"/>
            </a:p>
          </xdr:txBody>
        </xdr:sp>
      </mc:Fallback>
    </mc:AlternateContent>
    <xdr:clientData/>
  </xdr:oneCellAnchor>
  <xdr:oneCellAnchor>
    <xdr:from>
      <xdr:col>2</xdr:col>
      <xdr:colOff>220134</xdr:colOff>
      <xdr:row>55</xdr:row>
      <xdr:rowOff>190500</xdr:rowOff>
    </xdr:from>
    <xdr:ext cx="3105268" cy="34676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B039AA2F-2147-F704-1EA6-5CB1186364AE}"/>
                </a:ext>
              </a:extLst>
            </xdr:cNvPr>
            <xdr:cNvSpPr txBox="1"/>
          </xdr:nvSpPr>
          <xdr:spPr>
            <a:xfrm>
              <a:off x="13589399931" y="11400367"/>
              <a:ext cx="310526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𝑃𝑉𝐺𝑂</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r>
                          <a:rPr lang="en-US" sz="1100" b="0" i="1">
                            <a:latin typeface="Cambria Math" panose="02040503050406030204" pitchFamily="18" charset="0"/>
                          </a:rPr>
                          <m:t>𝐺𝑟𝑜𝑤𝑡h</m:t>
                        </m:r>
                        <m:r>
                          <a:rPr lang="en-US" sz="1100" b="0" i="1">
                            <a:latin typeface="Cambria Math" panose="02040503050406030204" pitchFamily="18" charset="0"/>
                          </a:rPr>
                          <m:t>)</m:t>
                        </m:r>
                      </m:den>
                    </m:f>
                  </m:oMath>
                </m:oMathPara>
              </a14:m>
              <a:endParaRPr lang="en-US" sz="1100"/>
            </a:p>
          </xdr:txBody>
        </xdr:sp>
      </mc:Choice>
      <mc:Fallback xmlns="">
        <xdr:sp macro="" textlink="">
          <xdr:nvSpPr>
            <xdr:cNvPr id="71" name="TextBox 70">
              <a:extLst>
                <a:ext uri="{FF2B5EF4-FFF2-40B4-BE49-F238E27FC236}">
                  <a16:creationId xmlns:a16="http://schemas.microsoft.com/office/drawing/2014/main" id="{B039AA2F-2147-F704-1EA6-5CB1186364AE}"/>
                </a:ext>
              </a:extLst>
            </xdr:cNvPr>
            <xdr:cNvSpPr txBox="1"/>
          </xdr:nvSpPr>
          <xdr:spPr>
            <a:xfrm>
              <a:off x="13589399931" y="11400367"/>
              <a:ext cx="310526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a:t>
              </a:r>
              <a:r>
                <a:rPr lang="he-IL" sz="1100" b="0" i="0">
                  <a:latin typeface="Cambria Math" panose="02040503050406030204" pitchFamily="18" charset="0"/>
                </a:rPr>
                <a:t>/(</a:t>
              </a:r>
              <a:r>
                <a:rPr lang="en-US" sz="1100" b="0" i="0">
                  <a:latin typeface="Cambria Math" panose="02040503050406030204" pitchFamily="18" charset="0"/>
                </a:rPr>
                <a:t>𝑃_𝑆 (𝐺𝑟𝑜𝑤𝑡ℎ)</a:t>
              </a:r>
              <a:r>
                <a:rPr lang="he-IL" sz="1100" b="0" i="0">
                  <a:latin typeface="Cambria Math" panose="02040503050406030204" pitchFamily="18" charset="0"/>
                </a:rPr>
                <a:t>)</a:t>
              </a:r>
              <a:endParaRPr lang="en-US" sz="1100"/>
            </a:p>
          </xdr:txBody>
        </xdr:sp>
      </mc:Fallback>
    </mc:AlternateContent>
    <xdr:clientData/>
  </xdr:oneCellAnchor>
  <xdr:twoCellAnchor>
    <xdr:from>
      <xdr:col>1</xdr:col>
      <xdr:colOff>76200</xdr:colOff>
      <xdr:row>277</xdr:row>
      <xdr:rowOff>135467</xdr:rowOff>
    </xdr:from>
    <xdr:to>
      <xdr:col>1</xdr:col>
      <xdr:colOff>338667</xdr:colOff>
      <xdr:row>279</xdr:row>
      <xdr:rowOff>0</xdr:rowOff>
    </xdr:to>
    <xdr:sp macro="" textlink="">
      <xdr:nvSpPr>
        <xdr:cNvPr id="72" name="Oval 71">
          <a:extLst>
            <a:ext uri="{FF2B5EF4-FFF2-40B4-BE49-F238E27FC236}">
              <a16:creationId xmlns:a16="http://schemas.microsoft.com/office/drawing/2014/main" id="{4CB88101-E8F9-0FEF-4F43-E8AD18CF162C}"/>
            </a:ext>
          </a:extLst>
        </xdr:cNvPr>
        <xdr:cNvSpPr/>
      </xdr:nvSpPr>
      <xdr:spPr>
        <a:xfrm>
          <a:off x="13593250267" y="59740800"/>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1</xdr:col>
      <xdr:colOff>524934</xdr:colOff>
      <xdr:row>284</xdr:row>
      <xdr:rowOff>186267</xdr:rowOff>
    </xdr:from>
    <xdr:to>
      <xdr:col>1</xdr:col>
      <xdr:colOff>787401</xdr:colOff>
      <xdr:row>286</xdr:row>
      <xdr:rowOff>50800</xdr:rowOff>
    </xdr:to>
    <xdr:sp macro="" textlink="">
      <xdr:nvSpPr>
        <xdr:cNvPr id="73" name="Oval 72">
          <a:extLst>
            <a:ext uri="{FF2B5EF4-FFF2-40B4-BE49-F238E27FC236}">
              <a16:creationId xmlns:a16="http://schemas.microsoft.com/office/drawing/2014/main" id="{3B227A37-EDC8-E922-EA8F-27FC92F05F22}"/>
            </a:ext>
          </a:extLst>
        </xdr:cNvPr>
        <xdr:cNvSpPr/>
      </xdr:nvSpPr>
      <xdr:spPr>
        <a:xfrm>
          <a:off x="13592801533" y="61214000"/>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516466</xdr:colOff>
      <xdr:row>283</xdr:row>
      <xdr:rowOff>152400</xdr:rowOff>
    </xdr:from>
    <xdr:to>
      <xdr:col>2</xdr:col>
      <xdr:colOff>778933</xdr:colOff>
      <xdr:row>285</xdr:row>
      <xdr:rowOff>16933</xdr:rowOff>
    </xdr:to>
    <xdr:sp macro="" textlink="">
      <xdr:nvSpPr>
        <xdr:cNvPr id="74" name="Oval 73">
          <a:extLst>
            <a:ext uri="{FF2B5EF4-FFF2-40B4-BE49-F238E27FC236}">
              <a16:creationId xmlns:a16="http://schemas.microsoft.com/office/drawing/2014/main" id="{B460BDA4-0316-3BCA-670E-53AD27E27401}"/>
            </a:ext>
          </a:extLst>
        </xdr:cNvPr>
        <xdr:cNvSpPr/>
      </xdr:nvSpPr>
      <xdr:spPr>
        <a:xfrm>
          <a:off x="13591980267" y="60976933"/>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406399</xdr:colOff>
      <xdr:row>277</xdr:row>
      <xdr:rowOff>152400</xdr:rowOff>
    </xdr:from>
    <xdr:to>
      <xdr:col>3</xdr:col>
      <xdr:colOff>668866</xdr:colOff>
      <xdr:row>279</xdr:row>
      <xdr:rowOff>16933</xdr:rowOff>
    </xdr:to>
    <xdr:sp macro="" textlink="">
      <xdr:nvSpPr>
        <xdr:cNvPr id="75" name="Oval 74">
          <a:extLst>
            <a:ext uri="{FF2B5EF4-FFF2-40B4-BE49-F238E27FC236}">
              <a16:creationId xmlns:a16="http://schemas.microsoft.com/office/drawing/2014/main" id="{4C9B9A60-79FB-B681-9A08-B30B7E63A9B1}"/>
            </a:ext>
          </a:extLst>
        </xdr:cNvPr>
        <xdr:cNvSpPr/>
      </xdr:nvSpPr>
      <xdr:spPr>
        <a:xfrm>
          <a:off x="13591226734" y="59757733"/>
          <a:ext cx="262467" cy="27093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542794</xdr:colOff>
      <xdr:row>290</xdr:row>
      <xdr:rowOff>198328</xdr:rowOff>
    </xdr:from>
    <xdr:to>
      <xdr:col>3</xdr:col>
      <xdr:colOff>778932</xdr:colOff>
      <xdr:row>292</xdr:row>
      <xdr:rowOff>42332</xdr:rowOff>
    </xdr:to>
    <xdr:sp macro="" textlink="">
      <xdr:nvSpPr>
        <xdr:cNvPr id="76" name="Oval 75">
          <a:extLst>
            <a:ext uri="{FF2B5EF4-FFF2-40B4-BE49-F238E27FC236}">
              <a16:creationId xmlns:a16="http://schemas.microsoft.com/office/drawing/2014/main" id="{4EBC6F95-B201-C393-377A-D8B4EBE1B30D}"/>
            </a:ext>
          </a:extLst>
        </xdr:cNvPr>
        <xdr:cNvSpPr/>
      </xdr:nvSpPr>
      <xdr:spPr>
        <a:xfrm>
          <a:off x="13507525616" y="57560575"/>
          <a:ext cx="236138" cy="24762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6</xdr:col>
      <xdr:colOff>518272</xdr:colOff>
      <xdr:row>86</xdr:row>
      <xdr:rowOff>28015</xdr:rowOff>
    </xdr:from>
    <xdr:to>
      <xdr:col>6</xdr:col>
      <xdr:colOff>672353</xdr:colOff>
      <xdr:row>86</xdr:row>
      <xdr:rowOff>186765</xdr:rowOff>
    </xdr:to>
    <xdr:sp macro="" textlink="">
      <xdr:nvSpPr>
        <xdr:cNvPr id="78" name="Oval 77">
          <a:extLst>
            <a:ext uri="{FF2B5EF4-FFF2-40B4-BE49-F238E27FC236}">
              <a16:creationId xmlns:a16="http://schemas.microsoft.com/office/drawing/2014/main" id="{16B175BC-AA65-630A-A6E6-0C4E084B24FB}"/>
            </a:ext>
          </a:extLst>
        </xdr:cNvPr>
        <xdr:cNvSpPr/>
      </xdr:nvSpPr>
      <xdr:spPr>
        <a:xfrm>
          <a:off x="13534698162" y="36204339"/>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126066</xdr:colOff>
      <xdr:row>87</xdr:row>
      <xdr:rowOff>23346</xdr:rowOff>
    </xdr:from>
    <xdr:to>
      <xdr:col>6</xdr:col>
      <xdr:colOff>280147</xdr:colOff>
      <xdr:row>87</xdr:row>
      <xdr:rowOff>182096</xdr:rowOff>
    </xdr:to>
    <xdr:sp macro="" textlink="">
      <xdr:nvSpPr>
        <xdr:cNvPr id="79" name="Oval 78">
          <a:extLst>
            <a:ext uri="{FF2B5EF4-FFF2-40B4-BE49-F238E27FC236}">
              <a16:creationId xmlns:a16="http://schemas.microsoft.com/office/drawing/2014/main" id="{5D5D02F3-90B4-9EA5-861A-5645F39782F4}"/>
            </a:ext>
          </a:extLst>
        </xdr:cNvPr>
        <xdr:cNvSpPr/>
      </xdr:nvSpPr>
      <xdr:spPr>
        <a:xfrm>
          <a:off x="13535090368" y="36405111"/>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6</xdr:col>
      <xdr:colOff>116728</xdr:colOff>
      <xdr:row>88</xdr:row>
      <xdr:rowOff>28015</xdr:rowOff>
    </xdr:from>
    <xdr:to>
      <xdr:col>6</xdr:col>
      <xdr:colOff>270809</xdr:colOff>
      <xdr:row>88</xdr:row>
      <xdr:rowOff>186765</xdr:rowOff>
    </xdr:to>
    <xdr:sp macro="" textlink="">
      <xdr:nvSpPr>
        <xdr:cNvPr id="80" name="Oval 79">
          <a:extLst>
            <a:ext uri="{FF2B5EF4-FFF2-40B4-BE49-F238E27FC236}">
              <a16:creationId xmlns:a16="http://schemas.microsoft.com/office/drawing/2014/main" id="{DFE95392-5CE4-721E-77FE-FC212F8F5F9F}"/>
            </a:ext>
          </a:extLst>
        </xdr:cNvPr>
        <xdr:cNvSpPr/>
      </xdr:nvSpPr>
      <xdr:spPr>
        <a:xfrm>
          <a:off x="13535099706" y="36615221"/>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6</xdr:col>
      <xdr:colOff>88713</xdr:colOff>
      <xdr:row>89</xdr:row>
      <xdr:rowOff>18677</xdr:rowOff>
    </xdr:from>
    <xdr:to>
      <xdr:col>6</xdr:col>
      <xdr:colOff>242794</xdr:colOff>
      <xdr:row>89</xdr:row>
      <xdr:rowOff>177427</xdr:rowOff>
    </xdr:to>
    <xdr:sp macro="" textlink="">
      <xdr:nvSpPr>
        <xdr:cNvPr id="81" name="Oval 80">
          <a:extLst>
            <a:ext uri="{FF2B5EF4-FFF2-40B4-BE49-F238E27FC236}">
              <a16:creationId xmlns:a16="http://schemas.microsoft.com/office/drawing/2014/main" id="{ABFFE04C-55F2-CB28-45AD-DD00697257C2}"/>
            </a:ext>
          </a:extLst>
        </xdr:cNvPr>
        <xdr:cNvSpPr/>
      </xdr:nvSpPr>
      <xdr:spPr>
        <a:xfrm>
          <a:off x="13535127721" y="36811324"/>
          <a:ext cx="154081" cy="158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8</xdr:col>
      <xdr:colOff>56106</xdr:colOff>
      <xdr:row>145</xdr:row>
      <xdr:rowOff>40805</xdr:rowOff>
    </xdr:from>
    <xdr:to>
      <xdr:col>8</xdr:col>
      <xdr:colOff>249921</xdr:colOff>
      <xdr:row>145</xdr:row>
      <xdr:rowOff>198917</xdr:rowOff>
    </xdr:to>
    <xdr:sp macro="" textlink="">
      <xdr:nvSpPr>
        <xdr:cNvPr id="85" name="Oval 84">
          <a:extLst>
            <a:ext uri="{FF2B5EF4-FFF2-40B4-BE49-F238E27FC236}">
              <a16:creationId xmlns:a16="http://schemas.microsoft.com/office/drawing/2014/main" id="{9E135536-DF9E-D0EA-97F7-B82F086106B6}"/>
            </a:ext>
          </a:extLst>
        </xdr:cNvPr>
        <xdr:cNvSpPr/>
      </xdr:nvSpPr>
      <xdr:spPr>
        <a:xfrm>
          <a:off x="13530666706" y="46984901"/>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8</xdr:col>
      <xdr:colOff>66306</xdr:colOff>
      <xdr:row>146</xdr:row>
      <xdr:rowOff>40805</xdr:rowOff>
    </xdr:from>
    <xdr:to>
      <xdr:col>8</xdr:col>
      <xdr:colOff>260121</xdr:colOff>
      <xdr:row>146</xdr:row>
      <xdr:rowOff>198917</xdr:rowOff>
    </xdr:to>
    <xdr:sp macro="" textlink="">
      <xdr:nvSpPr>
        <xdr:cNvPr id="86" name="Oval 85">
          <a:extLst>
            <a:ext uri="{FF2B5EF4-FFF2-40B4-BE49-F238E27FC236}">
              <a16:creationId xmlns:a16="http://schemas.microsoft.com/office/drawing/2014/main" id="{6081D52D-CE19-0BBE-133B-882F807C0D97}"/>
            </a:ext>
          </a:extLst>
        </xdr:cNvPr>
        <xdr:cNvSpPr/>
      </xdr:nvSpPr>
      <xdr:spPr>
        <a:xfrm>
          <a:off x="13530656506" y="47188917"/>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8</xdr:col>
      <xdr:colOff>71407</xdr:colOff>
      <xdr:row>147</xdr:row>
      <xdr:rowOff>35703</xdr:rowOff>
    </xdr:from>
    <xdr:to>
      <xdr:col>8</xdr:col>
      <xdr:colOff>265222</xdr:colOff>
      <xdr:row>147</xdr:row>
      <xdr:rowOff>193815</xdr:rowOff>
    </xdr:to>
    <xdr:sp macro="" textlink="">
      <xdr:nvSpPr>
        <xdr:cNvPr id="87" name="Oval 86">
          <a:extLst>
            <a:ext uri="{FF2B5EF4-FFF2-40B4-BE49-F238E27FC236}">
              <a16:creationId xmlns:a16="http://schemas.microsoft.com/office/drawing/2014/main" id="{AF7FC097-9827-FC81-0B87-AF218B5BC0B6}"/>
            </a:ext>
          </a:extLst>
        </xdr:cNvPr>
        <xdr:cNvSpPr/>
      </xdr:nvSpPr>
      <xdr:spPr>
        <a:xfrm>
          <a:off x="13530651405" y="47387832"/>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8</xdr:col>
      <xdr:colOff>76508</xdr:colOff>
      <xdr:row>148</xdr:row>
      <xdr:rowOff>30603</xdr:rowOff>
    </xdr:from>
    <xdr:to>
      <xdr:col>8</xdr:col>
      <xdr:colOff>270323</xdr:colOff>
      <xdr:row>148</xdr:row>
      <xdr:rowOff>188715</xdr:rowOff>
    </xdr:to>
    <xdr:sp macro="" textlink="">
      <xdr:nvSpPr>
        <xdr:cNvPr id="88" name="Oval 87">
          <a:extLst>
            <a:ext uri="{FF2B5EF4-FFF2-40B4-BE49-F238E27FC236}">
              <a16:creationId xmlns:a16="http://schemas.microsoft.com/office/drawing/2014/main" id="{467B4A4B-1D81-5792-98B8-B6CF9B70E993}"/>
            </a:ext>
          </a:extLst>
        </xdr:cNvPr>
        <xdr:cNvSpPr/>
      </xdr:nvSpPr>
      <xdr:spPr>
        <a:xfrm>
          <a:off x="13530646304" y="47586748"/>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8</xdr:col>
      <xdr:colOff>81609</xdr:colOff>
      <xdr:row>149</xdr:row>
      <xdr:rowOff>15302</xdr:rowOff>
    </xdr:from>
    <xdr:to>
      <xdr:col>8</xdr:col>
      <xdr:colOff>275424</xdr:colOff>
      <xdr:row>149</xdr:row>
      <xdr:rowOff>173414</xdr:rowOff>
    </xdr:to>
    <xdr:sp macro="" textlink="">
      <xdr:nvSpPr>
        <xdr:cNvPr id="89" name="Oval 88">
          <a:extLst>
            <a:ext uri="{FF2B5EF4-FFF2-40B4-BE49-F238E27FC236}">
              <a16:creationId xmlns:a16="http://schemas.microsoft.com/office/drawing/2014/main" id="{112546F0-68D3-0588-BB43-3616BFAC7056}"/>
            </a:ext>
          </a:extLst>
        </xdr:cNvPr>
        <xdr:cNvSpPr/>
      </xdr:nvSpPr>
      <xdr:spPr>
        <a:xfrm>
          <a:off x="13530641203" y="47775463"/>
          <a:ext cx="193815" cy="15811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8</xdr:col>
      <xdr:colOff>141561</xdr:colOff>
      <xdr:row>106</xdr:row>
      <xdr:rowOff>121337</xdr:rowOff>
    </xdr:from>
    <xdr:to>
      <xdr:col>8</xdr:col>
      <xdr:colOff>296476</xdr:colOff>
      <xdr:row>107</xdr:row>
      <xdr:rowOff>198185</xdr:rowOff>
    </xdr:to>
    <xdr:sp macro="" textlink="">
      <xdr:nvSpPr>
        <xdr:cNvPr id="95" name="Freeform 94">
          <a:extLst>
            <a:ext uri="{FF2B5EF4-FFF2-40B4-BE49-F238E27FC236}">
              <a16:creationId xmlns:a16="http://schemas.microsoft.com/office/drawing/2014/main" id="{C9F1EEBC-0775-10E4-A55E-27799B4C0449}"/>
            </a:ext>
          </a:extLst>
        </xdr:cNvPr>
        <xdr:cNvSpPr/>
      </xdr:nvSpPr>
      <xdr:spPr>
        <a:xfrm>
          <a:off x="13511468110" y="42055605"/>
          <a:ext cx="154915" cy="279077"/>
        </a:xfrm>
        <a:custGeom>
          <a:avLst/>
          <a:gdLst>
            <a:gd name="connsiteX0" fmla="*/ 114470 w 154915"/>
            <a:gd name="connsiteY0" fmla="*/ 0 h 279077"/>
            <a:gd name="connsiteX1" fmla="*/ 94247 w 154915"/>
            <a:gd name="connsiteY1" fmla="*/ 44491 h 279077"/>
            <a:gd name="connsiteX2" fmla="*/ 86158 w 154915"/>
            <a:gd name="connsiteY2" fmla="*/ 56624 h 279077"/>
            <a:gd name="connsiteX3" fmla="*/ 57845 w 154915"/>
            <a:gd name="connsiteY3" fmla="*/ 93026 h 279077"/>
            <a:gd name="connsiteX4" fmla="*/ 33578 w 154915"/>
            <a:gd name="connsiteY4" fmla="*/ 125382 h 279077"/>
            <a:gd name="connsiteX5" fmla="*/ 25489 w 154915"/>
            <a:gd name="connsiteY5" fmla="*/ 141561 h 279077"/>
            <a:gd name="connsiteX6" fmla="*/ 17400 w 154915"/>
            <a:gd name="connsiteY6" fmla="*/ 153694 h 279077"/>
            <a:gd name="connsiteX7" fmla="*/ 9310 w 154915"/>
            <a:gd name="connsiteY7" fmla="*/ 177962 h 279077"/>
            <a:gd name="connsiteX8" fmla="*/ 5266 w 154915"/>
            <a:gd name="connsiteY8" fmla="*/ 190096 h 279077"/>
            <a:gd name="connsiteX9" fmla="*/ 5266 w 154915"/>
            <a:gd name="connsiteY9" fmla="*/ 266943 h 279077"/>
            <a:gd name="connsiteX10" fmla="*/ 78068 w 154915"/>
            <a:gd name="connsiteY10" fmla="*/ 270987 h 279077"/>
            <a:gd name="connsiteX11" fmla="*/ 118514 w 154915"/>
            <a:gd name="connsiteY11" fmla="*/ 275032 h 279077"/>
            <a:gd name="connsiteX12" fmla="*/ 154915 w 154915"/>
            <a:gd name="connsiteY12" fmla="*/ 279077 h 2790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154915" h="279077">
              <a:moveTo>
                <a:pt x="114470" y="0"/>
              </a:moveTo>
              <a:cubicBezTo>
                <a:pt x="109220" y="12250"/>
                <a:pt x="101490" y="31815"/>
                <a:pt x="94247" y="44491"/>
              </a:cubicBezTo>
              <a:cubicBezTo>
                <a:pt x="91835" y="48711"/>
                <a:pt x="89321" y="52933"/>
                <a:pt x="86158" y="56624"/>
              </a:cubicBezTo>
              <a:cubicBezTo>
                <a:pt x="38920" y="111734"/>
                <a:pt x="100188" y="31865"/>
                <a:pt x="57845" y="93026"/>
              </a:cubicBezTo>
              <a:cubicBezTo>
                <a:pt x="50171" y="104111"/>
                <a:pt x="39607" y="113323"/>
                <a:pt x="33578" y="125382"/>
              </a:cubicBezTo>
              <a:cubicBezTo>
                <a:pt x="30882" y="130775"/>
                <a:pt x="28480" y="136326"/>
                <a:pt x="25489" y="141561"/>
              </a:cubicBezTo>
              <a:cubicBezTo>
                <a:pt x="23077" y="145781"/>
                <a:pt x="19374" y="149252"/>
                <a:pt x="17400" y="153694"/>
              </a:cubicBezTo>
              <a:cubicBezTo>
                <a:pt x="13937" y="161486"/>
                <a:pt x="12006" y="169873"/>
                <a:pt x="9310" y="177962"/>
              </a:cubicBezTo>
              <a:lnTo>
                <a:pt x="5266" y="190096"/>
              </a:lnTo>
              <a:cubicBezTo>
                <a:pt x="3783" y="201957"/>
                <a:pt x="-5804" y="259951"/>
                <a:pt x="5266" y="266943"/>
              </a:cubicBezTo>
              <a:cubicBezTo>
                <a:pt x="25815" y="279922"/>
                <a:pt x="53825" y="269255"/>
                <a:pt x="78068" y="270987"/>
              </a:cubicBezTo>
              <a:cubicBezTo>
                <a:pt x="91583" y="271952"/>
                <a:pt x="105039" y="273613"/>
                <a:pt x="118514" y="275032"/>
              </a:cubicBezTo>
              <a:lnTo>
                <a:pt x="154915" y="279077"/>
              </a:ln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153694</xdr:colOff>
      <xdr:row>107</xdr:row>
      <xdr:rowOff>194140</xdr:rowOff>
    </xdr:from>
    <xdr:to>
      <xdr:col>8</xdr:col>
      <xdr:colOff>442793</xdr:colOff>
      <xdr:row>110</xdr:row>
      <xdr:rowOff>57207</xdr:rowOff>
    </xdr:to>
    <xdr:sp macro="" textlink="">
      <xdr:nvSpPr>
        <xdr:cNvPr id="96" name="Freeform 95">
          <a:extLst>
            <a:ext uri="{FF2B5EF4-FFF2-40B4-BE49-F238E27FC236}">
              <a16:creationId xmlns:a16="http://schemas.microsoft.com/office/drawing/2014/main" id="{CBD890F0-6795-0914-3179-F590B8DB824B}"/>
            </a:ext>
          </a:extLst>
        </xdr:cNvPr>
        <xdr:cNvSpPr/>
      </xdr:nvSpPr>
      <xdr:spPr>
        <a:xfrm>
          <a:off x="13511321793" y="42330637"/>
          <a:ext cx="289099" cy="469755"/>
        </a:xfrm>
        <a:custGeom>
          <a:avLst/>
          <a:gdLst>
            <a:gd name="connsiteX0" fmla="*/ 143494 w 289099"/>
            <a:gd name="connsiteY0" fmla="*/ 0 h 469755"/>
            <a:gd name="connsiteX1" fmla="*/ 139449 w 289099"/>
            <a:gd name="connsiteY1" fmla="*/ 24267 h 469755"/>
            <a:gd name="connsiteX2" fmla="*/ 131360 w 289099"/>
            <a:gd name="connsiteY2" fmla="*/ 48535 h 469755"/>
            <a:gd name="connsiteX3" fmla="*/ 127315 w 289099"/>
            <a:gd name="connsiteY3" fmla="*/ 60669 h 469755"/>
            <a:gd name="connsiteX4" fmla="*/ 123271 w 289099"/>
            <a:gd name="connsiteY4" fmla="*/ 80892 h 469755"/>
            <a:gd name="connsiteX5" fmla="*/ 115182 w 289099"/>
            <a:gd name="connsiteY5" fmla="*/ 97070 h 469755"/>
            <a:gd name="connsiteX6" fmla="*/ 111137 w 289099"/>
            <a:gd name="connsiteY6" fmla="*/ 113248 h 469755"/>
            <a:gd name="connsiteX7" fmla="*/ 103048 w 289099"/>
            <a:gd name="connsiteY7" fmla="*/ 125382 h 469755"/>
            <a:gd name="connsiteX8" fmla="*/ 99003 w 289099"/>
            <a:gd name="connsiteY8" fmla="*/ 137516 h 469755"/>
            <a:gd name="connsiteX9" fmla="*/ 90914 w 289099"/>
            <a:gd name="connsiteY9" fmla="*/ 153694 h 469755"/>
            <a:gd name="connsiteX10" fmla="*/ 82825 w 289099"/>
            <a:gd name="connsiteY10" fmla="*/ 186051 h 469755"/>
            <a:gd name="connsiteX11" fmla="*/ 74736 w 289099"/>
            <a:gd name="connsiteY11" fmla="*/ 198185 h 469755"/>
            <a:gd name="connsiteX12" fmla="*/ 70691 w 289099"/>
            <a:gd name="connsiteY12" fmla="*/ 210318 h 469755"/>
            <a:gd name="connsiteX13" fmla="*/ 62602 w 289099"/>
            <a:gd name="connsiteY13" fmla="*/ 218408 h 469755"/>
            <a:gd name="connsiteX14" fmla="*/ 54513 w 289099"/>
            <a:gd name="connsiteY14" fmla="*/ 230541 h 469755"/>
            <a:gd name="connsiteX15" fmla="*/ 26201 w 289099"/>
            <a:gd name="connsiteY15" fmla="*/ 266943 h 469755"/>
            <a:gd name="connsiteX16" fmla="*/ 18111 w 289099"/>
            <a:gd name="connsiteY16" fmla="*/ 287166 h 469755"/>
            <a:gd name="connsiteX17" fmla="*/ 1933 w 289099"/>
            <a:gd name="connsiteY17" fmla="*/ 311433 h 469755"/>
            <a:gd name="connsiteX18" fmla="*/ 26201 w 289099"/>
            <a:gd name="connsiteY18" fmla="*/ 295255 h 469755"/>
            <a:gd name="connsiteX19" fmla="*/ 103048 w 289099"/>
            <a:gd name="connsiteY19" fmla="*/ 299299 h 469755"/>
            <a:gd name="connsiteX20" fmla="*/ 127315 w 289099"/>
            <a:gd name="connsiteY20" fmla="*/ 307388 h 469755"/>
            <a:gd name="connsiteX21" fmla="*/ 139449 w 289099"/>
            <a:gd name="connsiteY21" fmla="*/ 315478 h 469755"/>
            <a:gd name="connsiteX22" fmla="*/ 147538 w 289099"/>
            <a:gd name="connsiteY22" fmla="*/ 323567 h 469755"/>
            <a:gd name="connsiteX23" fmla="*/ 139449 w 289099"/>
            <a:gd name="connsiteY23" fmla="*/ 416592 h 469755"/>
            <a:gd name="connsiteX24" fmla="*/ 135404 w 289099"/>
            <a:gd name="connsiteY24" fmla="*/ 444904 h 469755"/>
            <a:gd name="connsiteX25" fmla="*/ 139449 w 289099"/>
            <a:gd name="connsiteY25" fmla="*/ 469172 h 469755"/>
            <a:gd name="connsiteX26" fmla="*/ 155627 w 289099"/>
            <a:gd name="connsiteY26" fmla="*/ 457038 h 469755"/>
            <a:gd name="connsiteX27" fmla="*/ 187984 w 289099"/>
            <a:gd name="connsiteY27" fmla="*/ 448949 h 469755"/>
            <a:gd name="connsiteX28" fmla="*/ 228430 w 289099"/>
            <a:gd name="connsiteY28" fmla="*/ 432771 h 469755"/>
            <a:gd name="connsiteX29" fmla="*/ 244608 w 289099"/>
            <a:gd name="connsiteY29" fmla="*/ 424681 h 469755"/>
            <a:gd name="connsiteX30" fmla="*/ 256742 w 289099"/>
            <a:gd name="connsiteY30" fmla="*/ 412548 h 469755"/>
            <a:gd name="connsiteX31" fmla="*/ 260787 w 289099"/>
            <a:gd name="connsiteY31" fmla="*/ 400414 h 469755"/>
            <a:gd name="connsiteX32" fmla="*/ 281010 w 289099"/>
            <a:gd name="connsiteY32" fmla="*/ 380191 h 469755"/>
            <a:gd name="connsiteX33" fmla="*/ 289099 w 289099"/>
            <a:gd name="connsiteY33" fmla="*/ 364013 h 46975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Lst>
          <a:rect l="l" t="t" r="r" b="b"/>
          <a:pathLst>
            <a:path w="289099" h="469755">
              <a:moveTo>
                <a:pt x="143494" y="0"/>
              </a:moveTo>
              <a:cubicBezTo>
                <a:pt x="142146" y="8089"/>
                <a:pt x="141438" y="16311"/>
                <a:pt x="139449" y="24267"/>
              </a:cubicBezTo>
              <a:cubicBezTo>
                <a:pt x="137381" y="32539"/>
                <a:pt x="134056" y="40446"/>
                <a:pt x="131360" y="48535"/>
              </a:cubicBezTo>
              <a:cubicBezTo>
                <a:pt x="130012" y="52580"/>
                <a:pt x="128151" y="56488"/>
                <a:pt x="127315" y="60669"/>
              </a:cubicBezTo>
              <a:cubicBezTo>
                <a:pt x="125967" y="67410"/>
                <a:pt x="125445" y="74370"/>
                <a:pt x="123271" y="80892"/>
              </a:cubicBezTo>
              <a:cubicBezTo>
                <a:pt x="121364" y="86612"/>
                <a:pt x="117299" y="91425"/>
                <a:pt x="115182" y="97070"/>
              </a:cubicBezTo>
              <a:cubicBezTo>
                <a:pt x="113230" y="102275"/>
                <a:pt x="113327" y="108139"/>
                <a:pt x="111137" y="113248"/>
              </a:cubicBezTo>
              <a:cubicBezTo>
                <a:pt x="109222" y="117716"/>
                <a:pt x="105222" y="121034"/>
                <a:pt x="103048" y="125382"/>
              </a:cubicBezTo>
              <a:cubicBezTo>
                <a:pt x="101141" y="129195"/>
                <a:pt x="100683" y="133597"/>
                <a:pt x="99003" y="137516"/>
              </a:cubicBezTo>
              <a:cubicBezTo>
                <a:pt x="96628" y="143058"/>
                <a:pt x="92821" y="147974"/>
                <a:pt x="90914" y="153694"/>
              </a:cubicBezTo>
              <a:cubicBezTo>
                <a:pt x="87398" y="164241"/>
                <a:pt x="88992" y="176800"/>
                <a:pt x="82825" y="186051"/>
              </a:cubicBezTo>
              <a:cubicBezTo>
                <a:pt x="80129" y="190096"/>
                <a:pt x="76910" y="193837"/>
                <a:pt x="74736" y="198185"/>
              </a:cubicBezTo>
              <a:cubicBezTo>
                <a:pt x="72829" y="201998"/>
                <a:pt x="72884" y="206662"/>
                <a:pt x="70691" y="210318"/>
              </a:cubicBezTo>
              <a:cubicBezTo>
                <a:pt x="68729" y="213588"/>
                <a:pt x="64984" y="215430"/>
                <a:pt x="62602" y="218408"/>
              </a:cubicBezTo>
              <a:cubicBezTo>
                <a:pt x="59566" y="222204"/>
                <a:pt x="57429" y="226652"/>
                <a:pt x="54513" y="230541"/>
              </a:cubicBezTo>
              <a:cubicBezTo>
                <a:pt x="45290" y="242839"/>
                <a:pt x="31910" y="252671"/>
                <a:pt x="26201" y="266943"/>
              </a:cubicBezTo>
              <a:cubicBezTo>
                <a:pt x="23504" y="273684"/>
                <a:pt x="21588" y="280792"/>
                <a:pt x="18111" y="287166"/>
              </a:cubicBezTo>
              <a:cubicBezTo>
                <a:pt x="13456" y="295701"/>
                <a:pt x="-6156" y="316826"/>
                <a:pt x="1933" y="311433"/>
              </a:cubicBezTo>
              <a:lnTo>
                <a:pt x="26201" y="295255"/>
              </a:lnTo>
              <a:cubicBezTo>
                <a:pt x="51817" y="296603"/>
                <a:pt x="77580" y="296243"/>
                <a:pt x="103048" y="299299"/>
              </a:cubicBezTo>
              <a:cubicBezTo>
                <a:pt x="111514" y="300315"/>
                <a:pt x="127315" y="307388"/>
                <a:pt x="127315" y="307388"/>
              </a:cubicBezTo>
              <a:cubicBezTo>
                <a:pt x="131360" y="310085"/>
                <a:pt x="134654" y="314679"/>
                <a:pt x="139449" y="315478"/>
              </a:cubicBezTo>
              <a:cubicBezTo>
                <a:pt x="153073" y="317749"/>
                <a:pt x="155486" y="299724"/>
                <a:pt x="147538" y="323567"/>
              </a:cubicBezTo>
              <a:cubicBezTo>
                <a:pt x="138372" y="378568"/>
                <a:pt x="147749" y="317007"/>
                <a:pt x="139449" y="416592"/>
              </a:cubicBezTo>
              <a:cubicBezTo>
                <a:pt x="138657" y="426092"/>
                <a:pt x="136752" y="435467"/>
                <a:pt x="135404" y="444904"/>
              </a:cubicBezTo>
              <a:cubicBezTo>
                <a:pt x="136752" y="452993"/>
                <a:pt x="132417" y="464953"/>
                <a:pt x="139449" y="469172"/>
              </a:cubicBezTo>
              <a:cubicBezTo>
                <a:pt x="145229" y="472640"/>
                <a:pt x="149405" y="459631"/>
                <a:pt x="155627" y="457038"/>
              </a:cubicBezTo>
              <a:cubicBezTo>
                <a:pt x="165889" y="452762"/>
                <a:pt x="177662" y="453078"/>
                <a:pt x="187984" y="448949"/>
              </a:cubicBezTo>
              <a:cubicBezTo>
                <a:pt x="201466" y="443556"/>
                <a:pt x="215443" y="439265"/>
                <a:pt x="228430" y="432771"/>
              </a:cubicBezTo>
              <a:cubicBezTo>
                <a:pt x="233823" y="430074"/>
                <a:pt x="239702" y="428185"/>
                <a:pt x="244608" y="424681"/>
              </a:cubicBezTo>
              <a:cubicBezTo>
                <a:pt x="249262" y="421356"/>
                <a:pt x="252697" y="416592"/>
                <a:pt x="256742" y="412548"/>
              </a:cubicBezTo>
              <a:cubicBezTo>
                <a:pt x="258090" y="408503"/>
                <a:pt x="258229" y="403825"/>
                <a:pt x="260787" y="400414"/>
              </a:cubicBezTo>
              <a:cubicBezTo>
                <a:pt x="266507" y="392787"/>
                <a:pt x="281010" y="380191"/>
                <a:pt x="281010" y="380191"/>
              </a:cubicBezTo>
              <a:cubicBezTo>
                <a:pt x="285657" y="366248"/>
                <a:pt x="282039" y="371071"/>
                <a:pt x="289099" y="36401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566242</xdr:colOff>
      <xdr:row>107</xdr:row>
      <xdr:rowOff>149649</xdr:rowOff>
    </xdr:from>
    <xdr:to>
      <xdr:col>8</xdr:col>
      <xdr:colOff>323567</xdr:colOff>
      <xdr:row>111</xdr:row>
      <xdr:rowOff>145605</xdr:rowOff>
    </xdr:to>
    <xdr:sp macro="" textlink="">
      <xdr:nvSpPr>
        <xdr:cNvPr id="97" name="Freeform 96">
          <a:extLst>
            <a:ext uri="{FF2B5EF4-FFF2-40B4-BE49-F238E27FC236}">
              <a16:creationId xmlns:a16="http://schemas.microsoft.com/office/drawing/2014/main" id="{6293311D-E649-916E-BE0D-EA43859E4BEE}"/>
            </a:ext>
          </a:extLst>
        </xdr:cNvPr>
        <xdr:cNvSpPr/>
      </xdr:nvSpPr>
      <xdr:spPr>
        <a:xfrm>
          <a:off x="13511441019" y="42286146"/>
          <a:ext cx="582420" cy="804873"/>
        </a:xfrm>
        <a:custGeom>
          <a:avLst/>
          <a:gdLst>
            <a:gd name="connsiteX0" fmla="*/ 24268 w 582420"/>
            <a:gd name="connsiteY0" fmla="*/ 554109 h 804873"/>
            <a:gd name="connsiteX1" fmla="*/ 16178 w 582420"/>
            <a:gd name="connsiteY1" fmla="*/ 663313 h 804873"/>
            <a:gd name="connsiteX2" fmla="*/ 8089 w 582420"/>
            <a:gd name="connsiteY2" fmla="*/ 719937 h 804873"/>
            <a:gd name="connsiteX3" fmla="*/ 4045 w 582420"/>
            <a:gd name="connsiteY3" fmla="*/ 752293 h 804873"/>
            <a:gd name="connsiteX4" fmla="*/ 0 w 582420"/>
            <a:gd name="connsiteY4" fmla="*/ 776561 h 804873"/>
            <a:gd name="connsiteX5" fmla="*/ 4045 w 582420"/>
            <a:gd name="connsiteY5" fmla="*/ 804873 h 804873"/>
            <a:gd name="connsiteX6" fmla="*/ 93026 w 582420"/>
            <a:gd name="connsiteY6" fmla="*/ 800829 h 804873"/>
            <a:gd name="connsiteX7" fmla="*/ 121338 w 582420"/>
            <a:gd name="connsiteY7" fmla="*/ 784650 h 804873"/>
            <a:gd name="connsiteX8" fmla="*/ 141561 w 582420"/>
            <a:gd name="connsiteY8" fmla="*/ 776561 h 804873"/>
            <a:gd name="connsiteX9" fmla="*/ 161784 w 582420"/>
            <a:gd name="connsiteY9" fmla="*/ 764427 h 804873"/>
            <a:gd name="connsiteX10" fmla="*/ 182006 w 582420"/>
            <a:gd name="connsiteY10" fmla="*/ 756338 h 804873"/>
            <a:gd name="connsiteX11" fmla="*/ 210319 w 582420"/>
            <a:gd name="connsiteY11" fmla="*/ 744204 h 804873"/>
            <a:gd name="connsiteX12" fmla="*/ 222452 w 582420"/>
            <a:gd name="connsiteY12" fmla="*/ 719937 h 804873"/>
            <a:gd name="connsiteX13" fmla="*/ 238631 w 582420"/>
            <a:gd name="connsiteY13" fmla="*/ 711848 h 804873"/>
            <a:gd name="connsiteX14" fmla="*/ 246720 w 582420"/>
            <a:gd name="connsiteY14" fmla="*/ 703758 h 804873"/>
            <a:gd name="connsiteX15" fmla="*/ 262898 w 582420"/>
            <a:gd name="connsiteY15" fmla="*/ 695669 h 804873"/>
            <a:gd name="connsiteX16" fmla="*/ 279077 w 582420"/>
            <a:gd name="connsiteY16" fmla="*/ 667357 h 804873"/>
            <a:gd name="connsiteX17" fmla="*/ 283121 w 582420"/>
            <a:gd name="connsiteY17" fmla="*/ 655223 h 804873"/>
            <a:gd name="connsiteX18" fmla="*/ 303344 w 582420"/>
            <a:gd name="connsiteY18" fmla="*/ 630956 h 804873"/>
            <a:gd name="connsiteX19" fmla="*/ 315478 w 582420"/>
            <a:gd name="connsiteY19" fmla="*/ 606688 h 804873"/>
            <a:gd name="connsiteX20" fmla="*/ 335701 w 582420"/>
            <a:gd name="connsiteY20" fmla="*/ 574332 h 804873"/>
            <a:gd name="connsiteX21" fmla="*/ 347835 w 582420"/>
            <a:gd name="connsiteY21" fmla="*/ 550064 h 804873"/>
            <a:gd name="connsiteX22" fmla="*/ 359968 w 582420"/>
            <a:gd name="connsiteY22" fmla="*/ 513663 h 804873"/>
            <a:gd name="connsiteX23" fmla="*/ 372102 w 582420"/>
            <a:gd name="connsiteY23" fmla="*/ 493440 h 804873"/>
            <a:gd name="connsiteX24" fmla="*/ 384236 w 582420"/>
            <a:gd name="connsiteY24" fmla="*/ 461083 h 804873"/>
            <a:gd name="connsiteX25" fmla="*/ 388280 w 582420"/>
            <a:gd name="connsiteY25" fmla="*/ 444905 h 804873"/>
            <a:gd name="connsiteX26" fmla="*/ 396370 w 582420"/>
            <a:gd name="connsiteY26" fmla="*/ 428727 h 804873"/>
            <a:gd name="connsiteX27" fmla="*/ 404459 w 582420"/>
            <a:gd name="connsiteY27" fmla="*/ 384236 h 804873"/>
            <a:gd name="connsiteX28" fmla="*/ 412548 w 582420"/>
            <a:gd name="connsiteY28" fmla="*/ 343790 h 804873"/>
            <a:gd name="connsiteX29" fmla="*/ 408503 w 582420"/>
            <a:gd name="connsiteY29" fmla="*/ 307389 h 804873"/>
            <a:gd name="connsiteX30" fmla="*/ 408503 w 582420"/>
            <a:gd name="connsiteY30" fmla="*/ 226497 h 804873"/>
            <a:gd name="connsiteX31" fmla="*/ 481306 w 582420"/>
            <a:gd name="connsiteY31" fmla="*/ 173918 h 804873"/>
            <a:gd name="connsiteX32" fmla="*/ 550064 w 582420"/>
            <a:gd name="connsiteY32" fmla="*/ 125383 h 804873"/>
            <a:gd name="connsiteX33" fmla="*/ 582420 w 582420"/>
            <a:gd name="connsiteY33" fmla="*/ 101115 h 804873"/>
            <a:gd name="connsiteX34" fmla="*/ 578376 w 582420"/>
            <a:gd name="connsiteY34" fmla="*/ 88981 h 804873"/>
            <a:gd name="connsiteX35" fmla="*/ 570287 w 582420"/>
            <a:gd name="connsiteY35" fmla="*/ 48536 h 804873"/>
            <a:gd name="connsiteX36" fmla="*/ 562198 w 582420"/>
            <a:gd name="connsiteY36" fmla="*/ 36402 h 804873"/>
            <a:gd name="connsiteX37" fmla="*/ 541975 w 582420"/>
            <a:gd name="connsiteY37" fmla="*/ 20223 h 804873"/>
            <a:gd name="connsiteX38" fmla="*/ 529841 w 582420"/>
            <a:gd name="connsiteY38" fmla="*/ 16179 h 804873"/>
            <a:gd name="connsiteX39" fmla="*/ 497484 w 582420"/>
            <a:gd name="connsiteY39" fmla="*/ 8090 h 804873"/>
            <a:gd name="connsiteX40" fmla="*/ 481306 w 582420"/>
            <a:gd name="connsiteY40" fmla="*/ 4045 h 804873"/>
            <a:gd name="connsiteX41" fmla="*/ 452994 w 582420"/>
            <a:gd name="connsiteY41" fmla="*/ 0 h 804873"/>
            <a:gd name="connsiteX42" fmla="*/ 388280 w 582420"/>
            <a:gd name="connsiteY42" fmla="*/ 4045 h 804873"/>
            <a:gd name="connsiteX43" fmla="*/ 372102 w 582420"/>
            <a:gd name="connsiteY43" fmla="*/ 8090 h 804873"/>
            <a:gd name="connsiteX44" fmla="*/ 347835 w 582420"/>
            <a:gd name="connsiteY44" fmla="*/ 16179 h 804873"/>
            <a:gd name="connsiteX45" fmla="*/ 347835 w 582420"/>
            <a:gd name="connsiteY45" fmla="*/ 28313 h 80487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Lst>
          <a:rect l="l" t="t" r="r" b="b"/>
          <a:pathLst>
            <a:path w="582420" h="804873">
              <a:moveTo>
                <a:pt x="24268" y="554109"/>
              </a:moveTo>
              <a:cubicBezTo>
                <a:pt x="16957" y="693013"/>
                <a:pt x="24547" y="583806"/>
                <a:pt x="16178" y="663313"/>
              </a:cubicBezTo>
              <a:cubicBezTo>
                <a:pt x="10725" y="715118"/>
                <a:pt x="17136" y="692797"/>
                <a:pt x="8089" y="719937"/>
              </a:cubicBezTo>
              <a:cubicBezTo>
                <a:pt x="6741" y="730722"/>
                <a:pt x="5582" y="741533"/>
                <a:pt x="4045" y="752293"/>
              </a:cubicBezTo>
              <a:cubicBezTo>
                <a:pt x="2885" y="760412"/>
                <a:pt x="0" y="768360"/>
                <a:pt x="0" y="776561"/>
              </a:cubicBezTo>
              <a:cubicBezTo>
                <a:pt x="0" y="786094"/>
                <a:pt x="2697" y="795436"/>
                <a:pt x="4045" y="804873"/>
              </a:cubicBezTo>
              <a:cubicBezTo>
                <a:pt x="33705" y="803525"/>
                <a:pt x="63531" y="804232"/>
                <a:pt x="93026" y="800829"/>
              </a:cubicBezTo>
              <a:cubicBezTo>
                <a:pt x="102240" y="799766"/>
                <a:pt x="113307" y="788665"/>
                <a:pt x="121338" y="784650"/>
              </a:cubicBezTo>
              <a:cubicBezTo>
                <a:pt x="127832" y="781403"/>
                <a:pt x="135067" y="779808"/>
                <a:pt x="141561" y="776561"/>
              </a:cubicBezTo>
              <a:cubicBezTo>
                <a:pt x="148592" y="773045"/>
                <a:pt x="154753" y="767943"/>
                <a:pt x="161784" y="764427"/>
              </a:cubicBezTo>
              <a:cubicBezTo>
                <a:pt x="168277" y="761180"/>
                <a:pt x="175372" y="759287"/>
                <a:pt x="182006" y="756338"/>
              </a:cubicBezTo>
              <a:cubicBezTo>
                <a:pt x="211993" y="743011"/>
                <a:pt x="185398" y="752512"/>
                <a:pt x="210319" y="744204"/>
              </a:cubicBezTo>
              <a:cubicBezTo>
                <a:pt x="213079" y="735923"/>
                <a:pt x="215215" y="725968"/>
                <a:pt x="222452" y="719937"/>
              </a:cubicBezTo>
              <a:cubicBezTo>
                <a:pt x="227084" y="716077"/>
                <a:pt x="233238" y="714544"/>
                <a:pt x="238631" y="711848"/>
              </a:cubicBezTo>
              <a:cubicBezTo>
                <a:pt x="241327" y="709151"/>
                <a:pt x="243547" y="705873"/>
                <a:pt x="246720" y="703758"/>
              </a:cubicBezTo>
              <a:cubicBezTo>
                <a:pt x="251736" y="700413"/>
                <a:pt x="258266" y="699529"/>
                <a:pt x="262898" y="695669"/>
              </a:cubicBezTo>
              <a:cubicBezTo>
                <a:pt x="267411" y="691908"/>
                <a:pt x="277398" y="671275"/>
                <a:pt x="279077" y="667357"/>
              </a:cubicBezTo>
              <a:cubicBezTo>
                <a:pt x="280756" y="663438"/>
                <a:pt x="280756" y="658770"/>
                <a:pt x="283121" y="655223"/>
              </a:cubicBezTo>
              <a:cubicBezTo>
                <a:pt x="288962" y="646462"/>
                <a:pt x="296603" y="639045"/>
                <a:pt x="303344" y="630956"/>
              </a:cubicBezTo>
              <a:cubicBezTo>
                <a:pt x="310760" y="608709"/>
                <a:pt x="302933" y="628642"/>
                <a:pt x="315478" y="606688"/>
              </a:cubicBezTo>
              <a:cubicBezTo>
                <a:pt x="333242" y="575601"/>
                <a:pt x="312503" y="605261"/>
                <a:pt x="335701" y="574332"/>
              </a:cubicBezTo>
              <a:cubicBezTo>
                <a:pt x="352735" y="523221"/>
                <a:pt x="324321" y="604929"/>
                <a:pt x="347835" y="550064"/>
              </a:cubicBezTo>
              <a:cubicBezTo>
                <a:pt x="371014" y="495982"/>
                <a:pt x="327122" y="579355"/>
                <a:pt x="359968" y="513663"/>
              </a:cubicBezTo>
              <a:cubicBezTo>
                <a:pt x="363484" y="506632"/>
                <a:pt x="368586" y="500471"/>
                <a:pt x="372102" y="493440"/>
              </a:cubicBezTo>
              <a:cubicBezTo>
                <a:pt x="374949" y="487747"/>
                <a:pt x="381903" y="469248"/>
                <a:pt x="384236" y="461083"/>
              </a:cubicBezTo>
              <a:cubicBezTo>
                <a:pt x="385763" y="455738"/>
                <a:pt x="386328" y="450110"/>
                <a:pt x="388280" y="444905"/>
              </a:cubicBezTo>
              <a:cubicBezTo>
                <a:pt x="390397" y="439260"/>
                <a:pt x="393673" y="434120"/>
                <a:pt x="396370" y="428727"/>
              </a:cubicBezTo>
              <a:cubicBezTo>
                <a:pt x="404980" y="394282"/>
                <a:pt x="395763" y="433514"/>
                <a:pt x="404459" y="384236"/>
              </a:cubicBezTo>
              <a:cubicBezTo>
                <a:pt x="406848" y="370696"/>
                <a:pt x="412548" y="343790"/>
                <a:pt x="412548" y="343790"/>
              </a:cubicBezTo>
              <a:cubicBezTo>
                <a:pt x="411200" y="331656"/>
                <a:pt x="408503" y="319597"/>
                <a:pt x="408503" y="307389"/>
              </a:cubicBezTo>
              <a:cubicBezTo>
                <a:pt x="408503" y="217351"/>
                <a:pt x="418050" y="274229"/>
                <a:pt x="408503" y="226497"/>
              </a:cubicBezTo>
              <a:cubicBezTo>
                <a:pt x="453313" y="215296"/>
                <a:pt x="400275" y="231116"/>
                <a:pt x="481306" y="173918"/>
              </a:cubicBezTo>
              <a:cubicBezTo>
                <a:pt x="504225" y="157740"/>
                <a:pt x="526008" y="139817"/>
                <a:pt x="550064" y="125383"/>
              </a:cubicBezTo>
              <a:cubicBezTo>
                <a:pt x="575192" y="110306"/>
                <a:pt x="564728" y="118808"/>
                <a:pt x="582420" y="101115"/>
              </a:cubicBezTo>
              <a:cubicBezTo>
                <a:pt x="581072" y="97070"/>
                <a:pt x="579301" y="93143"/>
                <a:pt x="578376" y="88981"/>
              </a:cubicBezTo>
              <a:cubicBezTo>
                <a:pt x="576834" y="82040"/>
                <a:pt x="574004" y="57209"/>
                <a:pt x="570287" y="48536"/>
              </a:cubicBezTo>
              <a:cubicBezTo>
                <a:pt x="568372" y="44068"/>
                <a:pt x="565235" y="40198"/>
                <a:pt x="562198" y="36402"/>
              </a:cubicBezTo>
              <a:cubicBezTo>
                <a:pt x="557185" y="30135"/>
                <a:pt x="548977" y="23724"/>
                <a:pt x="541975" y="20223"/>
              </a:cubicBezTo>
              <a:cubicBezTo>
                <a:pt x="538162" y="18316"/>
                <a:pt x="533954" y="17301"/>
                <a:pt x="529841" y="16179"/>
              </a:cubicBezTo>
              <a:cubicBezTo>
                <a:pt x="519115" y="13254"/>
                <a:pt x="508270" y="10786"/>
                <a:pt x="497484" y="8090"/>
              </a:cubicBezTo>
              <a:cubicBezTo>
                <a:pt x="492091" y="6742"/>
                <a:pt x="486809" y="4831"/>
                <a:pt x="481306" y="4045"/>
              </a:cubicBezTo>
              <a:lnTo>
                <a:pt x="452994" y="0"/>
              </a:lnTo>
              <a:cubicBezTo>
                <a:pt x="431423" y="1348"/>
                <a:pt x="409786" y="1894"/>
                <a:pt x="388280" y="4045"/>
              </a:cubicBezTo>
              <a:cubicBezTo>
                <a:pt x="382749" y="4598"/>
                <a:pt x="377426" y="6493"/>
                <a:pt x="372102" y="8090"/>
              </a:cubicBezTo>
              <a:cubicBezTo>
                <a:pt x="363935" y="10540"/>
                <a:pt x="347835" y="16179"/>
                <a:pt x="347835" y="16179"/>
              </a:cubicBezTo>
              <a:cubicBezTo>
                <a:pt x="337613" y="26400"/>
                <a:pt x="336334" y="22563"/>
                <a:pt x="347835" y="2831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663259</xdr:colOff>
      <xdr:row>105</xdr:row>
      <xdr:rowOff>153694</xdr:rowOff>
    </xdr:from>
    <xdr:to>
      <xdr:col>8</xdr:col>
      <xdr:colOff>663312</xdr:colOff>
      <xdr:row>107</xdr:row>
      <xdr:rowOff>165828</xdr:rowOff>
    </xdr:to>
    <xdr:sp macro="" textlink="">
      <xdr:nvSpPr>
        <xdr:cNvPr id="98" name="Freeform 97">
          <a:extLst>
            <a:ext uri="{FF2B5EF4-FFF2-40B4-BE49-F238E27FC236}">
              <a16:creationId xmlns:a16="http://schemas.microsoft.com/office/drawing/2014/main" id="{A3FE5643-47A2-4AC9-AE22-60A5C5912E7C}"/>
            </a:ext>
          </a:extLst>
        </xdr:cNvPr>
        <xdr:cNvSpPr/>
      </xdr:nvSpPr>
      <xdr:spPr>
        <a:xfrm>
          <a:off x="13511101274" y="41885732"/>
          <a:ext cx="825148" cy="416593"/>
        </a:xfrm>
        <a:custGeom>
          <a:avLst/>
          <a:gdLst>
            <a:gd name="connsiteX0" fmla="*/ 481306 w 825148"/>
            <a:gd name="connsiteY0" fmla="*/ 177962 h 416593"/>
            <a:gd name="connsiteX1" fmla="*/ 396369 w 825148"/>
            <a:gd name="connsiteY1" fmla="*/ 173918 h 416593"/>
            <a:gd name="connsiteX2" fmla="*/ 295255 w 825148"/>
            <a:gd name="connsiteY2" fmla="*/ 165829 h 416593"/>
            <a:gd name="connsiteX3" fmla="*/ 194140 w 825148"/>
            <a:gd name="connsiteY3" fmla="*/ 169873 h 416593"/>
            <a:gd name="connsiteX4" fmla="*/ 169872 w 825148"/>
            <a:gd name="connsiteY4" fmla="*/ 190096 h 416593"/>
            <a:gd name="connsiteX5" fmla="*/ 182006 w 825148"/>
            <a:gd name="connsiteY5" fmla="*/ 182007 h 416593"/>
            <a:gd name="connsiteX6" fmla="*/ 190095 w 825148"/>
            <a:gd name="connsiteY6" fmla="*/ 157739 h 416593"/>
            <a:gd name="connsiteX7" fmla="*/ 194140 w 825148"/>
            <a:gd name="connsiteY7" fmla="*/ 145606 h 416593"/>
            <a:gd name="connsiteX8" fmla="*/ 186051 w 825148"/>
            <a:gd name="connsiteY8" fmla="*/ 109204 h 416593"/>
            <a:gd name="connsiteX9" fmla="*/ 169872 w 825148"/>
            <a:gd name="connsiteY9" fmla="*/ 105160 h 416593"/>
            <a:gd name="connsiteX10" fmla="*/ 121337 w 825148"/>
            <a:gd name="connsiteY10" fmla="*/ 97071 h 416593"/>
            <a:gd name="connsiteX11" fmla="*/ 56624 w 825148"/>
            <a:gd name="connsiteY11" fmla="*/ 105160 h 416593"/>
            <a:gd name="connsiteX12" fmla="*/ 32357 w 825148"/>
            <a:gd name="connsiteY12" fmla="*/ 117293 h 416593"/>
            <a:gd name="connsiteX13" fmla="*/ 12134 w 825148"/>
            <a:gd name="connsiteY13" fmla="*/ 121338 h 416593"/>
            <a:gd name="connsiteX14" fmla="*/ 0 w 825148"/>
            <a:gd name="connsiteY14" fmla="*/ 125383 h 416593"/>
            <a:gd name="connsiteX15" fmla="*/ 28312 w 825148"/>
            <a:gd name="connsiteY15" fmla="*/ 105160 h 416593"/>
            <a:gd name="connsiteX16" fmla="*/ 64713 w 825148"/>
            <a:gd name="connsiteY16" fmla="*/ 97071 h 416593"/>
            <a:gd name="connsiteX17" fmla="*/ 97070 w 825148"/>
            <a:gd name="connsiteY17" fmla="*/ 84937 h 416593"/>
            <a:gd name="connsiteX18" fmla="*/ 226497 w 825148"/>
            <a:gd name="connsiteY18" fmla="*/ 52580 h 416593"/>
            <a:gd name="connsiteX19" fmla="*/ 279076 w 825148"/>
            <a:gd name="connsiteY19" fmla="*/ 36402 h 416593"/>
            <a:gd name="connsiteX20" fmla="*/ 323567 w 825148"/>
            <a:gd name="connsiteY20" fmla="*/ 24268 h 416593"/>
            <a:gd name="connsiteX21" fmla="*/ 400414 w 825148"/>
            <a:gd name="connsiteY21" fmla="*/ 0 h 416593"/>
            <a:gd name="connsiteX22" fmla="*/ 400414 w 825148"/>
            <a:gd name="connsiteY22" fmla="*/ 24268 h 416593"/>
            <a:gd name="connsiteX23" fmla="*/ 412548 w 825148"/>
            <a:gd name="connsiteY23" fmla="*/ 68758 h 416593"/>
            <a:gd name="connsiteX24" fmla="*/ 432771 w 825148"/>
            <a:gd name="connsiteY24" fmla="*/ 76848 h 416593"/>
            <a:gd name="connsiteX25" fmla="*/ 457038 w 825148"/>
            <a:gd name="connsiteY25" fmla="*/ 84937 h 416593"/>
            <a:gd name="connsiteX26" fmla="*/ 481306 w 825148"/>
            <a:gd name="connsiteY26" fmla="*/ 97071 h 416593"/>
            <a:gd name="connsiteX27" fmla="*/ 501529 w 825148"/>
            <a:gd name="connsiteY27" fmla="*/ 101115 h 416593"/>
            <a:gd name="connsiteX28" fmla="*/ 533885 w 825148"/>
            <a:gd name="connsiteY28" fmla="*/ 109204 h 416593"/>
            <a:gd name="connsiteX29" fmla="*/ 550064 w 825148"/>
            <a:gd name="connsiteY29" fmla="*/ 117293 h 416593"/>
            <a:gd name="connsiteX30" fmla="*/ 554108 w 825148"/>
            <a:gd name="connsiteY30" fmla="*/ 137516 h 416593"/>
            <a:gd name="connsiteX31" fmla="*/ 558153 w 825148"/>
            <a:gd name="connsiteY31" fmla="*/ 153695 h 416593"/>
            <a:gd name="connsiteX32" fmla="*/ 562197 w 825148"/>
            <a:gd name="connsiteY32" fmla="*/ 190096 h 416593"/>
            <a:gd name="connsiteX33" fmla="*/ 574331 w 825148"/>
            <a:gd name="connsiteY33" fmla="*/ 194141 h 416593"/>
            <a:gd name="connsiteX34" fmla="*/ 643089 w 825148"/>
            <a:gd name="connsiteY34" fmla="*/ 190096 h 416593"/>
            <a:gd name="connsiteX35" fmla="*/ 764427 w 825148"/>
            <a:gd name="connsiteY35" fmla="*/ 186051 h 416593"/>
            <a:gd name="connsiteX36" fmla="*/ 772516 w 825148"/>
            <a:gd name="connsiteY36" fmla="*/ 202230 h 416593"/>
            <a:gd name="connsiteX37" fmla="*/ 780605 w 825148"/>
            <a:gd name="connsiteY37" fmla="*/ 214364 h 416593"/>
            <a:gd name="connsiteX38" fmla="*/ 788694 w 825148"/>
            <a:gd name="connsiteY38" fmla="*/ 230542 h 416593"/>
            <a:gd name="connsiteX39" fmla="*/ 817006 w 825148"/>
            <a:gd name="connsiteY39" fmla="*/ 250765 h 416593"/>
            <a:gd name="connsiteX40" fmla="*/ 825095 w 825148"/>
            <a:gd name="connsiteY40" fmla="*/ 262899 h 416593"/>
            <a:gd name="connsiteX41" fmla="*/ 796783 w 825148"/>
            <a:gd name="connsiteY41" fmla="*/ 283122 h 416593"/>
            <a:gd name="connsiteX42" fmla="*/ 784650 w 825148"/>
            <a:gd name="connsiteY42" fmla="*/ 291211 h 416593"/>
            <a:gd name="connsiteX43" fmla="*/ 796783 w 825148"/>
            <a:gd name="connsiteY43" fmla="*/ 295255 h 416593"/>
            <a:gd name="connsiteX44" fmla="*/ 780605 w 825148"/>
            <a:gd name="connsiteY44" fmla="*/ 319523 h 416593"/>
            <a:gd name="connsiteX45" fmla="*/ 744204 w 825148"/>
            <a:gd name="connsiteY45" fmla="*/ 376147 h 416593"/>
            <a:gd name="connsiteX46" fmla="*/ 715892 w 825148"/>
            <a:gd name="connsiteY46" fmla="*/ 404459 h 416593"/>
            <a:gd name="connsiteX47" fmla="*/ 703758 w 825148"/>
            <a:gd name="connsiteY47" fmla="*/ 408504 h 416593"/>
            <a:gd name="connsiteX48" fmla="*/ 711847 w 825148"/>
            <a:gd name="connsiteY48" fmla="*/ 416593 h 4165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Lst>
          <a:rect l="l" t="t" r="r" b="b"/>
          <a:pathLst>
            <a:path w="825148" h="416593">
              <a:moveTo>
                <a:pt x="481306" y="177962"/>
              </a:moveTo>
              <a:cubicBezTo>
                <a:pt x="408455" y="185248"/>
                <a:pt x="473555" y="182494"/>
                <a:pt x="396369" y="173918"/>
              </a:cubicBezTo>
              <a:cubicBezTo>
                <a:pt x="362763" y="170184"/>
                <a:pt x="295255" y="165829"/>
                <a:pt x="295255" y="165829"/>
              </a:cubicBezTo>
              <a:cubicBezTo>
                <a:pt x="261550" y="167177"/>
                <a:pt x="227680" y="166280"/>
                <a:pt x="194140" y="169873"/>
              </a:cubicBezTo>
              <a:cubicBezTo>
                <a:pt x="190479" y="170265"/>
                <a:pt x="169872" y="187315"/>
                <a:pt x="169872" y="190096"/>
              </a:cubicBezTo>
              <a:cubicBezTo>
                <a:pt x="169872" y="194957"/>
                <a:pt x="177961" y="184703"/>
                <a:pt x="182006" y="182007"/>
              </a:cubicBezTo>
              <a:lnTo>
                <a:pt x="190095" y="157739"/>
              </a:lnTo>
              <a:lnTo>
                <a:pt x="194140" y="145606"/>
              </a:lnTo>
              <a:cubicBezTo>
                <a:pt x="191444" y="133472"/>
                <a:pt x="192446" y="119863"/>
                <a:pt x="186051" y="109204"/>
              </a:cubicBezTo>
              <a:cubicBezTo>
                <a:pt x="183191" y="104437"/>
                <a:pt x="175299" y="106366"/>
                <a:pt x="169872" y="105160"/>
              </a:cubicBezTo>
              <a:cubicBezTo>
                <a:pt x="148567" y="100426"/>
                <a:pt x="144993" y="100450"/>
                <a:pt x="121337" y="97071"/>
              </a:cubicBezTo>
              <a:cubicBezTo>
                <a:pt x="99766" y="99767"/>
                <a:pt x="76068" y="95438"/>
                <a:pt x="56624" y="105160"/>
              </a:cubicBezTo>
              <a:cubicBezTo>
                <a:pt x="48535" y="109204"/>
                <a:pt x="40856" y="114202"/>
                <a:pt x="32357" y="117293"/>
              </a:cubicBezTo>
              <a:cubicBezTo>
                <a:pt x="25896" y="119642"/>
                <a:pt x="18803" y="119671"/>
                <a:pt x="12134" y="121338"/>
              </a:cubicBezTo>
              <a:cubicBezTo>
                <a:pt x="7998" y="122372"/>
                <a:pt x="4045" y="124035"/>
                <a:pt x="0" y="125383"/>
              </a:cubicBezTo>
              <a:cubicBezTo>
                <a:pt x="3668" y="122632"/>
                <a:pt x="22394" y="108119"/>
                <a:pt x="28312" y="105160"/>
              </a:cubicBezTo>
              <a:cubicBezTo>
                <a:pt x="38271" y="100180"/>
                <a:pt x="55388" y="98625"/>
                <a:pt x="64713" y="97071"/>
              </a:cubicBezTo>
              <a:cubicBezTo>
                <a:pt x="75499" y="93026"/>
                <a:pt x="86050" y="88291"/>
                <a:pt x="97070" y="84937"/>
              </a:cubicBezTo>
              <a:cubicBezTo>
                <a:pt x="163047" y="64856"/>
                <a:pt x="156987" y="71116"/>
                <a:pt x="226497" y="52580"/>
              </a:cubicBezTo>
              <a:cubicBezTo>
                <a:pt x="244215" y="47855"/>
                <a:pt x="261472" y="41536"/>
                <a:pt x="279076" y="36402"/>
              </a:cubicBezTo>
              <a:cubicBezTo>
                <a:pt x="293833" y="32098"/>
                <a:pt x="308875" y="28789"/>
                <a:pt x="323567" y="24268"/>
              </a:cubicBezTo>
              <a:cubicBezTo>
                <a:pt x="418832" y="-5044"/>
                <a:pt x="355910" y="11127"/>
                <a:pt x="400414" y="0"/>
              </a:cubicBezTo>
              <a:cubicBezTo>
                <a:pt x="419290" y="56637"/>
                <a:pt x="392322" y="-32369"/>
                <a:pt x="400414" y="24268"/>
              </a:cubicBezTo>
              <a:cubicBezTo>
                <a:pt x="402588" y="39485"/>
                <a:pt x="404492" y="55667"/>
                <a:pt x="412548" y="68758"/>
              </a:cubicBezTo>
              <a:cubicBezTo>
                <a:pt x="416353" y="74941"/>
                <a:pt x="425948" y="74367"/>
                <a:pt x="432771" y="76848"/>
              </a:cubicBezTo>
              <a:cubicBezTo>
                <a:pt x="440784" y="79762"/>
                <a:pt x="449167" y="81658"/>
                <a:pt x="457038" y="84937"/>
              </a:cubicBezTo>
              <a:cubicBezTo>
                <a:pt x="465386" y="88416"/>
                <a:pt x="472806" y="93980"/>
                <a:pt x="481306" y="97071"/>
              </a:cubicBezTo>
              <a:cubicBezTo>
                <a:pt x="487767" y="99420"/>
                <a:pt x="494831" y="99569"/>
                <a:pt x="501529" y="101115"/>
              </a:cubicBezTo>
              <a:cubicBezTo>
                <a:pt x="512362" y="103615"/>
                <a:pt x="533885" y="109204"/>
                <a:pt x="533885" y="109204"/>
              </a:cubicBezTo>
              <a:cubicBezTo>
                <a:pt x="539278" y="111900"/>
                <a:pt x="546559" y="112387"/>
                <a:pt x="550064" y="117293"/>
              </a:cubicBezTo>
              <a:cubicBezTo>
                <a:pt x="554060" y="122887"/>
                <a:pt x="552617" y="130805"/>
                <a:pt x="554108" y="137516"/>
              </a:cubicBezTo>
              <a:cubicBezTo>
                <a:pt x="555314" y="142943"/>
                <a:pt x="556805" y="148302"/>
                <a:pt x="558153" y="153695"/>
              </a:cubicBezTo>
              <a:cubicBezTo>
                <a:pt x="559501" y="165829"/>
                <a:pt x="557663" y="178761"/>
                <a:pt x="562197" y="190096"/>
              </a:cubicBezTo>
              <a:cubicBezTo>
                <a:pt x="563780" y="194055"/>
                <a:pt x="570068" y="194141"/>
                <a:pt x="574331" y="194141"/>
              </a:cubicBezTo>
              <a:cubicBezTo>
                <a:pt x="597290" y="194141"/>
                <a:pt x="620170" y="191444"/>
                <a:pt x="643089" y="190096"/>
              </a:cubicBezTo>
              <a:cubicBezTo>
                <a:pt x="688964" y="181755"/>
                <a:pt x="713119" y="173835"/>
                <a:pt x="764427" y="186051"/>
              </a:cubicBezTo>
              <a:cubicBezTo>
                <a:pt x="770293" y="187448"/>
                <a:pt x="769525" y="196995"/>
                <a:pt x="772516" y="202230"/>
              </a:cubicBezTo>
              <a:cubicBezTo>
                <a:pt x="774928" y="206451"/>
                <a:pt x="778193" y="210143"/>
                <a:pt x="780605" y="214364"/>
              </a:cubicBezTo>
              <a:cubicBezTo>
                <a:pt x="783596" y="219599"/>
                <a:pt x="785190" y="225636"/>
                <a:pt x="788694" y="230542"/>
              </a:cubicBezTo>
              <a:cubicBezTo>
                <a:pt x="797804" y="243295"/>
                <a:pt x="803393" y="243959"/>
                <a:pt x="817006" y="250765"/>
              </a:cubicBezTo>
              <a:cubicBezTo>
                <a:pt x="819702" y="254810"/>
                <a:pt x="825782" y="258087"/>
                <a:pt x="825095" y="262899"/>
              </a:cubicBezTo>
              <a:cubicBezTo>
                <a:pt x="822613" y="280278"/>
                <a:pt x="808792" y="280120"/>
                <a:pt x="796783" y="283122"/>
              </a:cubicBezTo>
              <a:cubicBezTo>
                <a:pt x="792739" y="285818"/>
                <a:pt x="784650" y="286350"/>
                <a:pt x="784650" y="291211"/>
              </a:cubicBezTo>
              <a:cubicBezTo>
                <a:pt x="784650" y="295474"/>
                <a:pt x="797386" y="291035"/>
                <a:pt x="796783" y="295255"/>
              </a:cubicBezTo>
              <a:cubicBezTo>
                <a:pt x="795408" y="304879"/>
                <a:pt x="785758" y="311279"/>
                <a:pt x="780605" y="319523"/>
              </a:cubicBezTo>
              <a:cubicBezTo>
                <a:pt x="745938" y="374991"/>
                <a:pt x="768742" y="343428"/>
                <a:pt x="744204" y="376147"/>
              </a:cubicBezTo>
              <a:cubicBezTo>
                <a:pt x="738609" y="392930"/>
                <a:pt x="740230" y="396346"/>
                <a:pt x="715892" y="404459"/>
              </a:cubicBezTo>
              <a:cubicBezTo>
                <a:pt x="711847" y="405807"/>
                <a:pt x="705106" y="404459"/>
                <a:pt x="703758" y="408504"/>
              </a:cubicBezTo>
              <a:cubicBezTo>
                <a:pt x="702552" y="412121"/>
                <a:pt x="709151" y="413897"/>
                <a:pt x="711847" y="4165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96352</xdr:colOff>
      <xdr:row>108</xdr:row>
      <xdr:rowOff>75184</xdr:rowOff>
    </xdr:from>
    <xdr:to>
      <xdr:col>8</xdr:col>
      <xdr:colOff>217690</xdr:colOff>
      <xdr:row>109</xdr:row>
      <xdr:rowOff>26649</xdr:rowOff>
    </xdr:to>
    <xdr:sp macro="" textlink="">
      <xdr:nvSpPr>
        <xdr:cNvPr id="99" name="Oval 98">
          <a:extLst>
            <a:ext uri="{FF2B5EF4-FFF2-40B4-BE49-F238E27FC236}">
              <a16:creationId xmlns:a16="http://schemas.microsoft.com/office/drawing/2014/main" id="{CB118ACA-0FC5-0BB4-CFF5-7BAED3031087}"/>
            </a:ext>
          </a:extLst>
        </xdr:cNvPr>
        <xdr:cNvSpPr/>
      </xdr:nvSpPr>
      <xdr:spPr>
        <a:xfrm>
          <a:off x="13547881053" y="22107870"/>
          <a:ext cx="121338" cy="154665"/>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182006</xdr:colOff>
      <xdr:row>139</xdr:row>
      <xdr:rowOff>190047</xdr:rowOff>
    </xdr:from>
    <xdr:to>
      <xdr:col>8</xdr:col>
      <xdr:colOff>169873</xdr:colOff>
      <xdr:row>141</xdr:row>
      <xdr:rowOff>16178</xdr:rowOff>
    </xdr:to>
    <xdr:sp macro="" textlink="">
      <xdr:nvSpPr>
        <xdr:cNvPr id="101" name="Freeform 100">
          <a:extLst>
            <a:ext uri="{FF2B5EF4-FFF2-40B4-BE49-F238E27FC236}">
              <a16:creationId xmlns:a16="http://schemas.microsoft.com/office/drawing/2014/main" id="{8437F587-2FBB-D5F6-6010-81332F8E4746}"/>
            </a:ext>
          </a:extLst>
        </xdr:cNvPr>
        <xdr:cNvSpPr/>
      </xdr:nvSpPr>
      <xdr:spPr>
        <a:xfrm>
          <a:off x="13511594713" y="48797881"/>
          <a:ext cx="812962" cy="230590"/>
        </a:xfrm>
        <a:custGeom>
          <a:avLst/>
          <a:gdLst>
            <a:gd name="connsiteX0" fmla="*/ 812962 w 812962"/>
            <a:gd name="connsiteY0" fmla="*/ 214412 h 230590"/>
            <a:gd name="connsiteX1" fmla="*/ 283121 w 812962"/>
            <a:gd name="connsiteY1" fmla="*/ 49 h 230590"/>
            <a:gd name="connsiteX2" fmla="*/ 0 w 812962"/>
            <a:gd name="connsiteY2" fmla="*/ 230590 h 230590"/>
          </a:gdLst>
          <a:ahLst/>
          <a:cxnLst>
            <a:cxn ang="0">
              <a:pos x="connsiteX0" y="connsiteY0"/>
            </a:cxn>
            <a:cxn ang="0">
              <a:pos x="connsiteX1" y="connsiteY1"/>
            </a:cxn>
            <a:cxn ang="0">
              <a:pos x="connsiteX2" y="connsiteY2"/>
            </a:cxn>
          </a:cxnLst>
          <a:rect l="l" t="t" r="r" b="b"/>
          <a:pathLst>
            <a:path w="812962" h="230590">
              <a:moveTo>
                <a:pt x="812962" y="214412"/>
              </a:moveTo>
              <a:cubicBezTo>
                <a:pt x="615788" y="105882"/>
                <a:pt x="418615" y="-2647"/>
                <a:pt x="283121" y="49"/>
              </a:cubicBezTo>
              <a:cubicBezTo>
                <a:pt x="147627" y="2745"/>
                <a:pt x="73813" y="116667"/>
                <a:pt x="0" y="23059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736115</xdr:colOff>
      <xdr:row>138</xdr:row>
      <xdr:rowOff>200044</xdr:rowOff>
    </xdr:from>
    <xdr:ext cx="1590894" cy="176102"/>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B15FA758-A94F-82A5-12F6-630C0BD566A1}"/>
                </a:ext>
              </a:extLst>
            </xdr:cNvPr>
            <xdr:cNvSpPr txBox="1"/>
          </xdr:nvSpPr>
          <xdr:spPr>
            <a:xfrm>
              <a:off x="13511128214" y="48605649"/>
              <a:ext cx="1590894" cy="1761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∗(1+8.4472%)</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B15FA758-A94F-82A5-12F6-630C0BD566A1}"/>
                </a:ext>
              </a:extLst>
            </xdr:cNvPr>
            <xdr:cNvSpPr txBox="1"/>
          </xdr:nvSpPr>
          <xdr:spPr>
            <a:xfrm>
              <a:off x="13511128214" y="48605649"/>
              <a:ext cx="1590894" cy="1761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∗(1+8.4472%)</a:t>
              </a:r>
              <a:endParaRPr lang="en-US" sz="1100"/>
            </a:p>
          </xdr:txBody>
        </xdr:sp>
      </mc:Fallback>
    </mc:AlternateContent>
    <xdr:clientData/>
  </xdr:oneCellAnchor>
  <xdr:twoCellAnchor>
    <xdr:from>
      <xdr:col>3</xdr:col>
      <xdr:colOff>606688</xdr:colOff>
      <xdr:row>165</xdr:row>
      <xdr:rowOff>40446</xdr:rowOff>
    </xdr:from>
    <xdr:to>
      <xdr:col>3</xdr:col>
      <xdr:colOff>760383</xdr:colOff>
      <xdr:row>170</xdr:row>
      <xdr:rowOff>8089</xdr:rowOff>
    </xdr:to>
    <xdr:sp macro="" textlink="">
      <xdr:nvSpPr>
        <xdr:cNvPr id="103" name="Up Arrow 102">
          <a:extLst>
            <a:ext uri="{FF2B5EF4-FFF2-40B4-BE49-F238E27FC236}">
              <a16:creationId xmlns:a16="http://schemas.microsoft.com/office/drawing/2014/main" id="{72A74639-C0C2-986D-9B23-CE83FA7CB63F}"/>
            </a:ext>
          </a:extLst>
        </xdr:cNvPr>
        <xdr:cNvSpPr/>
      </xdr:nvSpPr>
      <xdr:spPr>
        <a:xfrm>
          <a:off x="13515170127" y="52110446"/>
          <a:ext cx="153695" cy="169872"/>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601153</xdr:colOff>
      <xdr:row>169</xdr:row>
      <xdr:rowOff>40484</xdr:rowOff>
    </xdr:from>
    <xdr:to>
      <xdr:col>2</xdr:col>
      <xdr:colOff>131527</xdr:colOff>
      <xdr:row>170</xdr:row>
      <xdr:rowOff>20158</xdr:rowOff>
    </xdr:to>
    <xdr:sp macro="" textlink="">
      <xdr:nvSpPr>
        <xdr:cNvPr id="104" name="Up Arrow 103">
          <a:extLst>
            <a:ext uri="{FF2B5EF4-FFF2-40B4-BE49-F238E27FC236}">
              <a16:creationId xmlns:a16="http://schemas.microsoft.com/office/drawing/2014/main" id="{7AE4AE4B-A845-9E42-8DEA-34BB40BEB19D}"/>
            </a:ext>
          </a:extLst>
        </xdr:cNvPr>
        <xdr:cNvSpPr/>
      </xdr:nvSpPr>
      <xdr:spPr>
        <a:xfrm rot="3001407">
          <a:off x="13553091081" y="34468047"/>
          <a:ext cx="182874" cy="35768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163285</xdr:colOff>
      <xdr:row>164</xdr:row>
      <xdr:rowOff>197353</xdr:rowOff>
    </xdr:from>
    <xdr:to>
      <xdr:col>1</xdr:col>
      <xdr:colOff>638629</xdr:colOff>
      <xdr:row>168</xdr:row>
      <xdr:rowOff>113493</xdr:rowOff>
    </xdr:to>
    <xdr:pic>
      <xdr:nvPicPr>
        <xdr:cNvPr id="105" name="Picture 104" descr="Chinese New Year: The Year of the Pig - What to do and what not to do">
          <a:extLst>
            <a:ext uri="{FF2B5EF4-FFF2-40B4-BE49-F238E27FC236}">
              <a16:creationId xmlns:a16="http://schemas.microsoft.com/office/drawing/2014/main" id="{91A1F076-09B1-E970-A717-02D30F5E5D9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553323886" y="33696324"/>
          <a:ext cx="1302658" cy="728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722086</xdr:colOff>
      <xdr:row>111</xdr:row>
      <xdr:rowOff>32657</xdr:rowOff>
    </xdr:from>
    <xdr:to>
      <xdr:col>8</xdr:col>
      <xdr:colOff>446314</xdr:colOff>
      <xdr:row>116</xdr:row>
      <xdr:rowOff>123371</xdr:rowOff>
    </xdr:to>
    <xdr:sp macro="" textlink="">
      <xdr:nvSpPr>
        <xdr:cNvPr id="3" name="Oval 2">
          <a:extLst>
            <a:ext uri="{FF2B5EF4-FFF2-40B4-BE49-F238E27FC236}">
              <a16:creationId xmlns:a16="http://schemas.microsoft.com/office/drawing/2014/main" id="{D01A6ADA-275E-4542-C2FE-6EE6C6FB020B}"/>
            </a:ext>
          </a:extLst>
        </xdr:cNvPr>
        <xdr:cNvSpPr/>
      </xdr:nvSpPr>
      <xdr:spPr>
        <a:xfrm>
          <a:off x="13547652429" y="22674943"/>
          <a:ext cx="551543" cy="11067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711200</xdr:colOff>
      <xdr:row>105</xdr:row>
      <xdr:rowOff>29028</xdr:rowOff>
    </xdr:from>
    <xdr:to>
      <xdr:col>10</xdr:col>
      <xdr:colOff>330201</xdr:colOff>
      <xdr:row>110</xdr:row>
      <xdr:rowOff>101600</xdr:rowOff>
    </xdr:to>
    <xdr:sp macro="" textlink="">
      <xdr:nvSpPr>
        <xdr:cNvPr id="55" name="Rectangular Callout 54">
          <a:extLst>
            <a:ext uri="{FF2B5EF4-FFF2-40B4-BE49-F238E27FC236}">
              <a16:creationId xmlns:a16="http://schemas.microsoft.com/office/drawing/2014/main" id="{A408C467-D959-5F3E-3D7E-BF2B789D11DA}"/>
            </a:ext>
          </a:extLst>
        </xdr:cNvPr>
        <xdr:cNvSpPr/>
      </xdr:nvSpPr>
      <xdr:spPr>
        <a:xfrm>
          <a:off x="13546113914" y="21452114"/>
          <a:ext cx="1273629" cy="1088572"/>
        </a:xfrm>
        <a:prstGeom prst="wedgeRectCallout">
          <a:avLst>
            <a:gd name="adj1" fmla="val 70417"/>
            <a:gd name="adj2" fmla="val 303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נמצא בסוף 2022, תחילת 2023, השווי</a:t>
          </a:r>
          <a:r>
            <a:rPr lang="he-IL" sz="1100" baseline="0"/>
            <a:t> ייגזר מהדיבידנדים העתידיים (משמאל)</a:t>
          </a:r>
          <a:endParaRPr lang="en-US" sz="1100"/>
        </a:p>
      </xdr:txBody>
    </xdr:sp>
    <xdr:clientData/>
  </xdr:twoCellAnchor>
  <xdr:twoCellAnchor>
    <xdr:from>
      <xdr:col>8</xdr:col>
      <xdr:colOff>170543</xdr:colOff>
      <xdr:row>108</xdr:row>
      <xdr:rowOff>123371</xdr:rowOff>
    </xdr:from>
    <xdr:to>
      <xdr:col>8</xdr:col>
      <xdr:colOff>221343</xdr:colOff>
      <xdr:row>108</xdr:row>
      <xdr:rowOff>185057</xdr:rowOff>
    </xdr:to>
    <xdr:sp macro="" textlink="">
      <xdr:nvSpPr>
        <xdr:cNvPr id="56" name="Oval 55">
          <a:extLst>
            <a:ext uri="{FF2B5EF4-FFF2-40B4-BE49-F238E27FC236}">
              <a16:creationId xmlns:a16="http://schemas.microsoft.com/office/drawing/2014/main" id="{0D951806-9542-A1FE-23AB-689CE3961688}"/>
            </a:ext>
          </a:extLst>
        </xdr:cNvPr>
        <xdr:cNvSpPr/>
      </xdr:nvSpPr>
      <xdr:spPr>
        <a:xfrm>
          <a:off x="13547877400" y="22156057"/>
          <a:ext cx="50800" cy="61686"/>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529772</xdr:colOff>
      <xdr:row>110</xdr:row>
      <xdr:rowOff>188685</xdr:rowOff>
    </xdr:from>
    <xdr:to>
      <xdr:col>7</xdr:col>
      <xdr:colOff>722086</xdr:colOff>
      <xdr:row>113</xdr:row>
      <xdr:rowOff>179614</xdr:rowOff>
    </xdr:to>
    <xdr:cxnSp macro="">
      <xdr:nvCxnSpPr>
        <xdr:cNvPr id="58" name="Straight Connector 57">
          <a:extLst>
            <a:ext uri="{FF2B5EF4-FFF2-40B4-BE49-F238E27FC236}">
              <a16:creationId xmlns:a16="http://schemas.microsoft.com/office/drawing/2014/main" id="{7F6A9D04-0897-5F17-0F03-3A2DE66446A4}"/>
            </a:ext>
          </a:extLst>
        </xdr:cNvPr>
        <xdr:cNvCxnSpPr>
          <a:stCxn id="3" idx="6"/>
        </xdr:cNvCxnSpPr>
      </xdr:nvCxnSpPr>
      <xdr:spPr>
        <a:xfrm flipV="1">
          <a:off x="13548203972" y="22627771"/>
          <a:ext cx="192314" cy="60052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446314</xdr:colOff>
      <xdr:row>111</xdr:row>
      <xdr:rowOff>50799</xdr:rowOff>
    </xdr:from>
    <xdr:to>
      <xdr:col>8</xdr:col>
      <xdr:colOff>667657</xdr:colOff>
      <xdr:row>113</xdr:row>
      <xdr:rowOff>179614</xdr:rowOff>
    </xdr:to>
    <xdr:cxnSp macro="">
      <xdr:nvCxnSpPr>
        <xdr:cNvPr id="59" name="Straight Connector 58">
          <a:extLst>
            <a:ext uri="{FF2B5EF4-FFF2-40B4-BE49-F238E27FC236}">
              <a16:creationId xmlns:a16="http://schemas.microsoft.com/office/drawing/2014/main" id="{11ACE94F-3AA1-5A20-5023-AF79B8F4F8AD}"/>
            </a:ext>
          </a:extLst>
        </xdr:cNvPr>
        <xdr:cNvCxnSpPr>
          <a:stCxn id="3" idx="2"/>
        </xdr:cNvCxnSpPr>
      </xdr:nvCxnSpPr>
      <xdr:spPr>
        <a:xfrm flipH="1" flipV="1">
          <a:off x="13547431086" y="22693085"/>
          <a:ext cx="221343" cy="53521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257629</xdr:colOff>
      <xdr:row>116</xdr:row>
      <xdr:rowOff>58057</xdr:rowOff>
    </xdr:from>
    <xdr:to>
      <xdr:col>8</xdr:col>
      <xdr:colOff>315686</xdr:colOff>
      <xdr:row>119</xdr:row>
      <xdr:rowOff>58057</xdr:rowOff>
    </xdr:to>
    <xdr:sp macro="" textlink="">
      <xdr:nvSpPr>
        <xdr:cNvPr id="82" name="Oval 81">
          <a:extLst>
            <a:ext uri="{FF2B5EF4-FFF2-40B4-BE49-F238E27FC236}">
              <a16:creationId xmlns:a16="http://schemas.microsoft.com/office/drawing/2014/main" id="{49C915F7-30A3-313E-A57A-C05B3C545A4E}"/>
            </a:ext>
          </a:extLst>
        </xdr:cNvPr>
        <xdr:cNvSpPr/>
      </xdr:nvSpPr>
      <xdr:spPr>
        <a:xfrm>
          <a:off x="13547783057" y="23716343"/>
          <a:ext cx="58057" cy="609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21772</xdr:colOff>
      <xdr:row>116</xdr:row>
      <xdr:rowOff>72571</xdr:rowOff>
    </xdr:from>
    <xdr:to>
      <xdr:col>8</xdr:col>
      <xdr:colOff>79829</xdr:colOff>
      <xdr:row>119</xdr:row>
      <xdr:rowOff>72571</xdr:rowOff>
    </xdr:to>
    <xdr:sp macro="" textlink="">
      <xdr:nvSpPr>
        <xdr:cNvPr id="83" name="Oval 82">
          <a:extLst>
            <a:ext uri="{FF2B5EF4-FFF2-40B4-BE49-F238E27FC236}">
              <a16:creationId xmlns:a16="http://schemas.microsoft.com/office/drawing/2014/main" id="{B56D7F04-7E76-CA1C-81ED-D724E69B0F2A}"/>
            </a:ext>
          </a:extLst>
        </xdr:cNvPr>
        <xdr:cNvSpPr/>
      </xdr:nvSpPr>
      <xdr:spPr>
        <a:xfrm>
          <a:off x="13548018914" y="23730857"/>
          <a:ext cx="58057" cy="6096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605972</xdr:colOff>
      <xdr:row>165</xdr:row>
      <xdr:rowOff>159657</xdr:rowOff>
    </xdr:from>
    <xdr:to>
      <xdr:col>3</xdr:col>
      <xdr:colOff>460829</xdr:colOff>
      <xdr:row>168</xdr:row>
      <xdr:rowOff>43542</xdr:rowOff>
    </xdr:to>
    <xdr:sp macro="" textlink="">
      <xdr:nvSpPr>
        <xdr:cNvPr id="90" name="Rectangular Callout 89">
          <a:extLst>
            <a:ext uri="{FF2B5EF4-FFF2-40B4-BE49-F238E27FC236}">
              <a16:creationId xmlns:a16="http://schemas.microsoft.com/office/drawing/2014/main" id="{BAA3E538-13EE-1B1E-AE58-29DA84D8B040}"/>
            </a:ext>
          </a:extLst>
        </xdr:cNvPr>
        <xdr:cNvSpPr/>
      </xdr:nvSpPr>
      <xdr:spPr>
        <a:xfrm>
          <a:off x="13551810771" y="33861828"/>
          <a:ext cx="1545772" cy="493485"/>
        </a:xfrm>
        <a:prstGeom prst="wedgeRectCallout">
          <a:avLst>
            <a:gd name="adj1" fmla="val 54754"/>
            <a:gd name="adj2" fmla="val 136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תן לי את כל הרווח למניה כדיבידנד</a:t>
          </a:r>
          <a:endParaRPr lang="en-US" sz="1100"/>
        </a:p>
      </xdr:txBody>
    </xdr:sp>
    <xdr:clientData/>
  </xdr:twoCellAnchor>
  <xdr:twoCellAnchor editAs="oneCell">
    <xdr:from>
      <xdr:col>5</xdr:col>
      <xdr:colOff>707572</xdr:colOff>
      <xdr:row>167</xdr:row>
      <xdr:rowOff>65315</xdr:rowOff>
    </xdr:from>
    <xdr:to>
      <xdr:col>6</xdr:col>
      <xdr:colOff>682173</xdr:colOff>
      <xdr:row>170</xdr:row>
      <xdr:rowOff>127404</xdr:rowOff>
    </xdr:to>
    <xdr:pic>
      <xdr:nvPicPr>
        <xdr:cNvPr id="91" name="Picture 90">
          <a:extLst>
            <a:ext uri="{FF2B5EF4-FFF2-40B4-BE49-F238E27FC236}">
              <a16:creationId xmlns:a16="http://schemas.microsoft.com/office/drawing/2014/main" id="{73CBC53F-9E9A-7AE4-48F3-504F86A07A65}"/>
            </a:ext>
          </a:extLst>
        </xdr:cNvPr>
        <xdr:cNvPicPr>
          <a:picLocks noChangeAspect="1"/>
        </xdr:cNvPicPr>
      </xdr:nvPicPr>
      <xdr:blipFill>
        <a:blip xmlns:r="http://schemas.openxmlformats.org/officeDocument/2006/relationships" r:embed="rId4"/>
        <a:stretch>
          <a:fillRect/>
        </a:stretch>
      </xdr:blipFill>
      <xdr:spPr>
        <a:xfrm>
          <a:off x="13549107485" y="34173886"/>
          <a:ext cx="801915" cy="671689"/>
        </a:xfrm>
        <a:prstGeom prst="rect">
          <a:avLst/>
        </a:prstGeom>
      </xdr:spPr>
    </xdr:pic>
    <xdr:clientData/>
  </xdr:twoCellAnchor>
  <xdr:twoCellAnchor>
    <xdr:from>
      <xdr:col>6</xdr:col>
      <xdr:colOff>722086</xdr:colOff>
      <xdr:row>165</xdr:row>
      <xdr:rowOff>199572</xdr:rowOff>
    </xdr:from>
    <xdr:to>
      <xdr:col>9</xdr:col>
      <xdr:colOff>667657</xdr:colOff>
      <xdr:row>173</xdr:row>
      <xdr:rowOff>76200</xdr:rowOff>
    </xdr:to>
    <xdr:sp macro="" textlink="">
      <xdr:nvSpPr>
        <xdr:cNvPr id="92" name="Rectangular Callout 91">
          <a:extLst>
            <a:ext uri="{FF2B5EF4-FFF2-40B4-BE49-F238E27FC236}">
              <a16:creationId xmlns:a16="http://schemas.microsoft.com/office/drawing/2014/main" id="{6C39782E-20BF-0BAB-C7C2-B7D8CEF34C57}"/>
            </a:ext>
          </a:extLst>
        </xdr:cNvPr>
        <xdr:cNvSpPr/>
      </xdr:nvSpPr>
      <xdr:spPr>
        <a:xfrm>
          <a:off x="13546603772" y="33901743"/>
          <a:ext cx="2463800" cy="1502228"/>
        </a:xfrm>
        <a:prstGeom prst="wedgeRectCallout">
          <a:avLst>
            <a:gd name="adj1" fmla="val 56045"/>
            <a:gd name="adj2" fmla="val -4256"/>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למעשה, העקרון של </a:t>
          </a:r>
          <a:r>
            <a:rPr lang="en-US" sz="1100"/>
            <a:t>PVGO</a:t>
          </a:r>
          <a:r>
            <a:rPr lang="he-IL" sz="1100" baseline="0"/>
            <a:t> אומר:</a:t>
          </a:r>
        </a:p>
        <a:p>
          <a:pPr algn="r" rtl="1"/>
          <a:r>
            <a:rPr lang="he-IL" sz="1100" baseline="0"/>
            <a:t>רוב החברות משקיעות (ולא מחלקות 100% מהרווח כדיבידנד). בזכות ההשקעות הללו, מחיר המניה גבוה יותר.</a:t>
          </a:r>
        </a:p>
        <a:p>
          <a:pPr algn="r" rtl="1"/>
          <a:r>
            <a:rPr lang="he-IL" sz="1100" baseline="0"/>
            <a:t>כשאנחנו רוצים לחשב את השווי שנובע ספציפית מההשקעות האלו - </a:t>
          </a:r>
          <a:r>
            <a:rPr lang="en-US" sz="1100" baseline="0"/>
            <a:t>PVGO</a:t>
          </a:r>
          <a:r>
            <a:rPr lang="he-IL" sz="1100" baseline="0"/>
            <a:t> - עלינו לחשב את השווי התיאורטי אם ההשקעות הללו לא היו מבוצעות.</a:t>
          </a:r>
          <a:endParaRPr lang="en-US" sz="1100"/>
        </a:p>
      </xdr:txBody>
    </xdr:sp>
    <xdr:clientData/>
  </xdr:twoCellAnchor>
  <xdr:twoCellAnchor>
    <xdr:from>
      <xdr:col>2</xdr:col>
      <xdr:colOff>441494</xdr:colOff>
      <xdr:row>171</xdr:row>
      <xdr:rowOff>200142</xdr:rowOff>
    </xdr:from>
    <xdr:to>
      <xdr:col>2</xdr:col>
      <xdr:colOff>799183</xdr:colOff>
      <xdr:row>172</xdr:row>
      <xdr:rowOff>179816</xdr:rowOff>
    </xdr:to>
    <xdr:sp macro="" textlink="">
      <xdr:nvSpPr>
        <xdr:cNvPr id="93" name="Up Arrow 92">
          <a:extLst>
            <a:ext uri="{FF2B5EF4-FFF2-40B4-BE49-F238E27FC236}">
              <a16:creationId xmlns:a16="http://schemas.microsoft.com/office/drawing/2014/main" id="{3F72DE20-54BF-8309-A5CA-70FB0E29B2E3}"/>
            </a:ext>
          </a:extLst>
        </xdr:cNvPr>
        <xdr:cNvSpPr/>
      </xdr:nvSpPr>
      <xdr:spPr>
        <a:xfrm rot="5400000">
          <a:off x="13552423425" y="35034105"/>
          <a:ext cx="182874" cy="35768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10</xdr:col>
      <xdr:colOff>76969</xdr:colOff>
      <xdr:row>185</xdr:row>
      <xdr:rowOff>153941</xdr:rowOff>
    </xdr:from>
    <xdr:to>
      <xdr:col>11</xdr:col>
      <xdr:colOff>293083</xdr:colOff>
      <xdr:row>190</xdr:row>
      <xdr:rowOff>135126</xdr:rowOff>
    </xdr:to>
    <xdr:pic>
      <xdr:nvPicPr>
        <xdr:cNvPr id="94" name="Picture 93">
          <a:extLst>
            <a:ext uri="{FF2B5EF4-FFF2-40B4-BE49-F238E27FC236}">
              <a16:creationId xmlns:a16="http://schemas.microsoft.com/office/drawing/2014/main" id="{88356AFC-03C4-F449-E683-35AE62611834}"/>
            </a:ext>
          </a:extLst>
        </xdr:cNvPr>
        <xdr:cNvPicPr>
          <a:picLocks noChangeAspect="1"/>
        </xdr:cNvPicPr>
      </xdr:nvPicPr>
      <xdr:blipFill>
        <a:blip xmlns:r="http://schemas.openxmlformats.org/officeDocument/2006/relationships" r:embed="rId5"/>
        <a:stretch>
          <a:fillRect/>
        </a:stretch>
      </xdr:blipFill>
      <xdr:spPr>
        <a:xfrm>
          <a:off x="13512117792" y="38228284"/>
          <a:ext cx="1041400" cy="1016000"/>
        </a:xfrm>
        <a:prstGeom prst="rect">
          <a:avLst/>
        </a:prstGeom>
      </xdr:spPr>
    </xdr:pic>
    <xdr:clientData/>
  </xdr:twoCellAnchor>
  <xdr:twoCellAnchor>
    <xdr:from>
      <xdr:col>10</xdr:col>
      <xdr:colOff>166767</xdr:colOff>
      <xdr:row>186</xdr:row>
      <xdr:rowOff>17104</xdr:rowOff>
    </xdr:from>
    <xdr:to>
      <xdr:col>11</xdr:col>
      <xdr:colOff>25656</xdr:colOff>
      <xdr:row>187</xdr:row>
      <xdr:rowOff>51565</xdr:rowOff>
    </xdr:to>
    <xdr:sp macro="" textlink="">
      <xdr:nvSpPr>
        <xdr:cNvPr id="100" name="Freeform 99">
          <a:extLst>
            <a:ext uri="{FF2B5EF4-FFF2-40B4-BE49-F238E27FC236}">
              <a16:creationId xmlns:a16="http://schemas.microsoft.com/office/drawing/2014/main" id="{7A003900-7BD4-6042-EAB4-792E40AB2E98}"/>
            </a:ext>
          </a:extLst>
        </xdr:cNvPr>
        <xdr:cNvSpPr/>
      </xdr:nvSpPr>
      <xdr:spPr>
        <a:xfrm>
          <a:off x="13512385219" y="38296700"/>
          <a:ext cx="684175" cy="239713"/>
        </a:xfrm>
        <a:custGeom>
          <a:avLst/>
          <a:gdLst>
            <a:gd name="connsiteX0" fmla="*/ 98350 w 684175"/>
            <a:gd name="connsiteY0" fmla="*/ 94074 h 239713"/>
            <a:gd name="connsiteX1" fmla="*/ 124007 w 684175"/>
            <a:gd name="connsiteY1" fmla="*/ 98351 h 239713"/>
            <a:gd name="connsiteX2" fmla="*/ 218081 w 684175"/>
            <a:gd name="connsiteY2" fmla="*/ 102627 h 239713"/>
            <a:gd name="connsiteX3" fmla="*/ 252289 w 684175"/>
            <a:gd name="connsiteY3" fmla="*/ 111179 h 239713"/>
            <a:gd name="connsiteX4" fmla="*/ 166768 w 684175"/>
            <a:gd name="connsiteY4" fmla="*/ 102627 h 239713"/>
            <a:gd name="connsiteX5" fmla="*/ 81246 w 684175"/>
            <a:gd name="connsiteY5" fmla="*/ 98351 h 239713"/>
            <a:gd name="connsiteX6" fmla="*/ 102626 w 684175"/>
            <a:gd name="connsiteY6" fmla="*/ 85522 h 239713"/>
            <a:gd name="connsiteX7" fmla="*/ 119730 w 684175"/>
            <a:gd name="connsiteY7" fmla="*/ 81246 h 239713"/>
            <a:gd name="connsiteX8" fmla="*/ 149663 w 684175"/>
            <a:gd name="connsiteY8" fmla="*/ 72694 h 239713"/>
            <a:gd name="connsiteX9" fmla="*/ 209528 w 684175"/>
            <a:gd name="connsiteY9" fmla="*/ 64142 h 239713"/>
            <a:gd name="connsiteX10" fmla="*/ 282222 w 684175"/>
            <a:gd name="connsiteY10" fmla="*/ 68418 h 239713"/>
            <a:gd name="connsiteX11" fmla="*/ 295050 w 684175"/>
            <a:gd name="connsiteY11" fmla="*/ 76970 h 239713"/>
            <a:gd name="connsiteX12" fmla="*/ 320707 w 684175"/>
            <a:gd name="connsiteY12" fmla="*/ 85522 h 239713"/>
            <a:gd name="connsiteX13" fmla="*/ 307879 w 684175"/>
            <a:gd name="connsiteY13" fmla="*/ 94074 h 239713"/>
            <a:gd name="connsiteX14" fmla="*/ 290774 w 684175"/>
            <a:gd name="connsiteY14" fmla="*/ 89798 h 239713"/>
            <a:gd name="connsiteX15" fmla="*/ 269394 w 684175"/>
            <a:gd name="connsiteY15" fmla="*/ 85522 h 239713"/>
            <a:gd name="connsiteX16" fmla="*/ 192424 w 684175"/>
            <a:gd name="connsiteY16" fmla="*/ 72694 h 239713"/>
            <a:gd name="connsiteX17" fmla="*/ 145387 w 684175"/>
            <a:gd name="connsiteY17" fmla="*/ 94074 h 239713"/>
            <a:gd name="connsiteX18" fmla="*/ 158215 w 684175"/>
            <a:gd name="connsiteY18" fmla="*/ 98351 h 239713"/>
            <a:gd name="connsiteX19" fmla="*/ 175320 w 684175"/>
            <a:gd name="connsiteY19" fmla="*/ 102627 h 239713"/>
            <a:gd name="connsiteX20" fmla="*/ 333535 w 684175"/>
            <a:gd name="connsiteY20" fmla="*/ 111179 h 239713"/>
            <a:gd name="connsiteX21" fmla="*/ 363468 w 684175"/>
            <a:gd name="connsiteY21" fmla="*/ 119731 h 239713"/>
            <a:gd name="connsiteX22" fmla="*/ 397677 w 684175"/>
            <a:gd name="connsiteY22" fmla="*/ 128283 h 239713"/>
            <a:gd name="connsiteX23" fmla="*/ 350640 w 684175"/>
            <a:gd name="connsiteY23" fmla="*/ 124007 h 239713"/>
            <a:gd name="connsiteX24" fmla="*/ 153939 w 684175"/>
            <a:gd name="connsiteY24" fmla="*/ 119731 h 239713"/>
            <a:gd name="connsiteX25" fmla="*/ 141111 w 684175"/>
            <a:gd name="connsiteY25" fmla="*/ 115455 h 239713"/>
            <a:gd name="connsiteX26" fmla="*/ 119730 w 684175"/>
            <a:gd name="connsiteY26" fmla="*/ 106903 h 239713"/>
            <a:gd name="connsiteX27" fmla="*/ 98350 w 684175"/>
            <a:gd name="connsiteY27" fmla="*/ 102627 h 239713"/>
            <a:gd name="connsiteX28" fmla="*/ 128283 w 684175"/>
            <a:gd name="connsiteY28" fmla="*/ 94074 h 239713"/>
            <a:gd name="connsiteX29" fmla="*/ 153939 w 684175"/>
            <a:gd name="connsiteY29" fmla="*/ 85522 h 239713"/>
            <a:gd name="connsiteX30" fmla="*/ 188148 w 684175"/>
            <a:gd name="connsiteY30" fmla="*/ 81246 h 239713"/>
            <a:gd name="connsiteX31" fmla="*/ 414781 w 684175"/>
            <a:gd name="connsiteY31" fmla="*/ 89798 h 239713"/>
            <a:gd name="connsiteX32" fmla="*/ 470370 w 684175"/>
            <a:gd name="connsiteY32" fmla="*/ 115455 h 239713"/>
            <a:gd name="connsiteX33" fmla="*/ 496027 w 684175"/>
            <a:gd name="connsiteY33" fmla="*/ 124007 h 239713"/>
            <a:gd name="connsiteX34" fmla="*/ 483199 w 684175"/>
            <a:gd name="connsiteY34" fmla="*/ 128283 h 239713"/>
            <a:gd name="connsiteX35" fmla="*/ 427609 w 684175"/>
            <a:gd name="connsiteY35" fmla="*/ 119731 h 239713"/>
            <a:gd name="connsiteX36" fmla="*/ 346363 w 684175"/>
            <a:gd name="connsiteY36" fmla="*/ 111179 h 239713"/>
            <a:gd name="connsiteX37" fmla="*/ 299326 w 684175"/>
            <a:gd name="connsiteY37" fmla="*/ 106903 h 239713"/>
            <a:gd name="connsiteX38" fmla="*/ 248013 w 684175"/>
            <a:gd name="connsiteY38" fmla="*/ 102627 h 239713"/>
            <a:gd name="connsiteX39" fmla="*/ 106902 w 684175"/>
            <a:gd name="connsiteY39" fmla="*/ 98351 h 239713"/>
            <a:gd name="connsiteX40" fmla="*/ 299326 w 684175"/>
            <a:gd name="connsiteY40" fmla="*/ 106903 h 239713"/>
            <a:gd name="connsiteX41" fmla="*/ 333535 w 684175"/>
            <a:gd name="connsiteY41" fmla="*/ 111179 h 239713"/>
            <a:gd name="connsiteX42" fmla="*/ 363468 w 684175"/>
            <a:gd name="connsiteY42" fmla="*/ 119731 h 239713"/>
            <a:gd name="connsiteX43" fmla="*/ 376296 w 684175"/>
            <a:gd name="connsiteY43" fmla="*/ 111179 h 239713"/>
            <a:gd name="connsiteX44" fmla="*/ 380572 w 684175"/>
            <a:gd name="connsiteY44" fmla="*/ 98351 h 239713"/>
            <a:gd name="connsiteX45" fmla="*/ 337811 w 684175"/>
            <a:gd name="connsiteY45" fmla="*/ 94074 h 239713"/>
            <a:gd name="connsiteX46" fmla="*/ 316431 w 684175"/>
            <a:gd name="connsiteY46" fmla="*/ 89798 h 239713"/>
            <a:gd name="connsiteX47" fmla="*/ 290774 w 684175"/>
            <a:gd name="connsiteY47" fmla="*/ 81246 h 239713"/>
            <a:gd name="connsiteX48" fmla="*/ 260842 w 684175"/>
            <a:gd name="connsiteY48" fmla="*/ 72694 h 239713"/>
            <a:gd name="connsiteX49" fmla="*/ 222357 w 684175"/>
            <a:gd name="connsiteY49" fmla="*/ 59866 h 239713"/>
            <a:gd name="connsiteX50" fmla="*/ 145387 w 684175"/>
            <a:gd name="connsiteY50" fmla="*/ 51313 h 239713"/>
            <a:gd name="connsiteX51" fmla="*/ 171044 w 684175"/>
            <a:gd name="connsiteY51" fmla="*/ 47037 h 239713"/>
            <a:gd name="connsiteX52" fmla="*/ 188148 w 684175"/>
            <a:gd name="connsiteY52" fmla="*/ 42761 h 239713"/>
            <a:gd name="connsiteX53" fmla="*/ 260842 w 684175"/>
            <a:gd name="connsiteY53" fmla="*/ 38485 h 239713"/>
            <a:gd name="connsiteX54" fmla="*/ 389124 w 684175"/>
            <a:gd name="connsiteY54" fmla="*/ 42761 h 239713"/>
            <a:gd name="connsiteX55" fmla="*/ 410505 w 684175"/>
            <a:gd name="connsiteY55" fmla="*/ 47037 h 239713"/>
            <a:gd name="connsiteX56" fmla="*/ 419057 w 684175"/>
            <a:gd name="connsiteY56" fmla="*/ 55590 h 239713"/>
            <a:gd name="connsiteX57" fmla="*/ 200976 w 684175"/>
            <a:gd name="connsiteY57" fmla="*/ 55590 h 239713"/>
            <a:gd name="connsiteX58" fmla="*/ 209528 w 684175"/>
            <a:gd name="connsiteY58" fmla="*/ 42761 h 239713"/>
            <a:gd name="connsiteX59" fmla="*/ 299326 w 684175"/>
            <a:gd name="connsiteY59" fmla="*/ 51313 h 239713"/>
            <a:gd name="connsiteX60" fmla="*/ 320707 w 684175"/>
            <a:gd name="connsiteY60" fmla="*/ 72694 h 239713"/>
            <a:gd name="connsiteX61" fmla="*/ 324983 w 684175"/>
            <a:gd name="connsiteY61" fmla="*/ 85522 h 239713"/>
            <a:gd name="connsiteX62" fmla="*/ 273670 w 684175"/>
            <a:gd name="connsiteY62" fmla="*/ 76970 h 239713"/>
            <a:gd name="connsiteX63" fmla="*/ 175320 w 684175"/>
            <a:gd name="connsiteY63" fmla="*/ 72694 h 239713"/>
            <a:gd name="connsiteX64" fmla="*/ 0 w 684175"/>
            <a:gd name="connsiteY64" fmla="*/ 64142 h 239713"/>
            <a:gd name="connsiteX65" fmla="*/ 17104 w 684175"/>
            <a:gd name="connsiteY65" fmla="*/ 59866 h 239713"/>
            <a:gd name="connsiteX66" fmla="*/ 29933 w 684175"/>
            <a:gd name="connsiteY66" fmla="*/ 64142 h 239713"/>
            <a:gd name="connsiteX67" fmla="*/ 59865 w 684175"/>
            <a:gd name="connsiteY67" fmla="*/ 76970 h 239713"/>
            <a:gd name="connsiteX68" fmla="*/ 235185 w 684175"/>
            <a:gd name="connsiteY68" fmla="*/ 85522 h 239713"/>
            <a:gd name="connsiteX69" fmla="*/ 372020 w 684175"/>
            <a:gd name="connsiteY69" fmla="*/ 119731 h 239713"/>
            <a:gd name="connsiteX70" fmla="*/ 423333 w 684175"/>
            <a:gd name="connsiteY70" fmla="*/ 132559 h 239713"/>
            <a:gd name="connsiteX71" fmla="*/ 470370 w 684175"/>
            <a:gd name="connsiteY71" fmla="*/ 153940 h 239713"/>
            <a:gd name="connsiteX72" fmla="*/ 414781 w 684175"/>
            <a:gd name="connsiteY72" fmla="*/ 162492 h 239713"/>
            <a:gd name="connsiteX73" fmla="*/ 389124 w 684175"/>
            <a:gd name="connsiteY73" fmla="*/ 153940 h 239713"/>
            <a:gd name="connsiteX74" fmla="*/ 312155 w 684175"/>
            <a:gd name="connsiteY74" fmla="*/ 124007 h 239713"/>
            <a:gd name="connsiteX75" fmla="*/ 269394 w 684175"/>
            <a:gd name="connsiteY75" fmla="*/ 102627 h 239713"/>
            <a:gd name="connsiteX76" fmla="*/ 248013 w 684175"/>
            <a:gd name="connsiteY76" fmla="*/ 89798 h 239713"/>
            <a:gd name="connsiteX77" fmla="*/ 222357 w 684175"/>
            <a:gd name="connsiteY77" fmla="*/ 76970 h 239713"/>
            <a:gd name="connsiteX78" fmla="*/ 218081 w 684175"/>
            <a:gd name="connsiteY78" fmla="*/ 64142 h 239713"/>
            <a:gd name="connsiteX79" fmla="*/ 200976 w 684175"/>
            <a:gd name="connsiteY79" fmla="*/ 38485 h 239713"/>
            <a:gd name="connsiteX80" fmla="*/ 213805 w 684175"/>
            <a:gd name="connsiteY80" fmla="*/ 47037 h 239713"/>
            <a:gd name="connsiteX81" fmla="*/ 252289 w 684175"/>
            <a:gd name="connsiteY81" fmla="*/ 55590 h 239713"/>
            <a:gd name="connsiteX82" fmla="*/ 303603 w 684175"/>
            <a:gd name="connsiteY82" fmla="*/ 68418 h 239713"/>
            <a:gd name="connsiteX83" fmla="*/ 316431 w 684175"/>
            <a:gd name="connsiteY83" fmla="*/ 81246 h 239713"/>
            <a:gd name="connsiteX84" fmla="*/ 273670 w 684175"/>
            <a:gd name="connsiteY84" fmla="*/ 72694 h 239713"/>
            <a:gd name="connsiteX85" fmla="*/ 226633 w 684175"/>
            <a:gd name="connsiteY85" fmla="*/ 59866 h 239713"/>
            <a:gd name="connsiteX86" fmla="*/ 188148 w 684175"/>
            <a:gd name="connsiteY86" fmla="*/ 42761 h 239713"/>
            <a:gd name="connsiteX87" fmla="*/ 171044 w 684175"/>
            <a:gd name="connsiteY87" fmla="*/ 38485 h 239713"/>
            <a:gd name="connsiteX88" fmla="*/ 175320 w 684175"/>
            <a:gd name="connsiteY88" fmla="*/ 21381 h 239713"/>
            <a:gd name="connsiteX89" fmla="*/ 235185 w 684175"/>
            <a:gd name="connsiteY89" fmla="*/ 25657 h 239713"/>
            <a:gd name="connsiteX90" fmla="*/ 333535 w 684175"/>
            <a:gd name="connsiteY90" fmla="*/ 38485 h 239713"/>
            <a:gd name="connsiteX91" fmla="*/ 363468 w 684175"/>
            <a:gd name="connsiteY91" fmla="*/ 55590 h 239713"/>
            <a:gd name="connsiteX92" fmla="*/ 376296 w 684175"/>
            <a:gd name="connsiteY92" fmla="*/ 59866 h 239713"/>
            <a:gd name="connsiteX93" fmla="*/ 316431 w 684175"/>
            <a:gd name="connsiteY93" fmla="*/ 59866 h 239713"/>
            <a:gd name="connsiteX94" fmla="*/ 252289 w 684175"/>
            <a:gd name="connsiteY94" fmla="*/ 38485 h 239713"/>
            <a:gd name="connsiteX95" fmla="*/ 226633 w 684175"/>
            <a:gd name="connsiteY95" fmla="*/ 29933 h 239713"/>
            <a:gd name="connsiteX96" fmla="*/ 222357 w 684175"/>
            <a:gd name="connsiteY96" fmla="*/ 17105 h 239713"/>
            <a:gd name="connsiteX97" fmla="*/ 354916 w 684175"/>
            <a:gd name="connsiteY97" fmla="*/ 42761 h 239713"/>
            <a:gd name="connsiteX98" fmla="*/ 602929 w 684175"/>
            <a:gd name="connsiteY98" fmla="*/ 106903 h 239713"/>
            <a:gd name="connsiteX99" fmla="*/ 671347 w 684175"/>
            <a:gd name="connsiteY99" fmla="*/ 136835 h 239713"/>
            <a:gd name="connsiteX100" fmla="*/ 684175 w 684175"/>
            <a:gd name="connsiteY100" fmla="*/ 145388 h 239713"/>
            <a:gd name="connsiteX101" fmla="*/ 560168 w 684175"/>
            <a:gd name="connsiteY101" fmla="*/ 145388 h 239713"/>
            <a:gd name="connsiteX102" fmla="*/ 534512 w 684175"/>
            <a:gd name="connsiteY102" fmla="*/ 132559 h 239713"/>
            <a:gd name="connsiteX103" fmla="*/ 504579 w 684175"/>
            <a:gd name="connsiteY103" fmla="*/ 124007 h 239713"/>
            <a:gd name="connsiteX104" fmla="*/ 483199 w 684175"/>
            <a:gd name="connsiteY104" fmla="*/ 115455 h 239713"/>
            <a:gd name="connsiteX105" fmla="*/ 466094 w 684175"/>
            <a:gd name="connsiteY105" fmla="*/ 111179 h 239713"/>
            <a:gd name="connsiteX106" fmla="*/ 423333 w 684175"/>
            <a:gd name="connsiteY106" fmla="*/ 98351 h 239713"/>
            <a:gd name="connsiteX107" fmla="*/ 453266 w 684175"/>
            <a:gd name="connsiteY107" fmla="*/ 98351 h 239713"/>
            <a:gd name="connsiteX108" fmla="*/ 500303 w 684175"/>
            <a:gd name="connsiteY108" fmla="*/ 128283 h 239713"/>
            <a:gd name="connsiteX109" fmla="*/ 525959 w 684175"/>
            <a:gd name="connsiteY109" fmla="*/ 136835 h 239713"/>
            <a:gd name="connsiteX110" fmla="*/ 538788 w 684175"/>
            <a:gd name="connsiteY110" fmla="*/ 132559 h 239713"/>
            <a:gd name="connsiteX111" fmla="*/ 538788 w 684175"/>
            <a:gd name="connsiteY111" fmla="*/ 106903 h 239713"/>
            <a:gd name="connsiteX112" fmla="*/ 517407 w 684175"/>
            <a:gd name="connsiteY112" fmla="*/ 98351 h 239713"/>
            <a:gd name="connsiteX113" fmla="*/ 500303 w 684175"/>
            <a:gd name="connsiteY113" fmla="*/ 89798 h 239713"/>
            <a:gd name="connsiteX114" fmla="*/ 436161 w 684175"/>
            <a:gd name="connsiteY114" fmla="*/ 55590 h 239713"/>
            <a:gd name="connsiteX115" fmla="*/ 372020 w 684175"/>
            <a:gd name="connsiteY115" fmla="*/ 8553 h 239713"/>
            <a:gd name="connsiteX116" fmla="*/ 359192 w 684175"/>
            <a:gd name="connsiteY116" fmla="*/ 0 h 239713"/>
            <a:gd name="connsiteX117" fmla="*/ 376296 w 684175"/>
            <a:gd name="connsiteY117" fmla="*/ 29933 h 239713"/>
            <a:gd name="connsiteX118" fmla="*/ 401953 w 684175"/>
            <a:gd name="connsiteY118" fmla="*/ 47037 h 239713"/>
            <a:gd name="connsiteX119" fmla="*/ 444714 w 684175"/>
            <a:gd name="connsiteY119" fmla="*/ 81246 h 239713"/>
            <a:gd name="connsiteX120" fmla="*/ 466094 w 684175"/>
            <a:gd name="connsiteY120" fmla="*/ 111179 h 239713"/>
            <a:gd name="connsiteX121" fmla="*/ 487475 w 684175"/>
            <a:gd name="connsiteY121" fmla="*/ 136835 h 239713"/>
            <a:gd name="connsiteX122" fmla="*/ 496027 w 684175"/>
            <a:gd name="connsiteY122" fmla="*/ 153940 h 239713"/>
            <a:gd name="connsiteX123" fmla="*/ 500303 w 684175"/>
            <a:gd name="connsiteY123" fmla="*/ 166768 h 239713"/>
            <a:gd name="connsiteX124" fmla="*/ 487475 w 684175"/>
            <a:gd name="connsiteY124" fmla="*/ 162492 h 239713"/>
            <a:gd name="connsiteX125" fmla="*/ 461818 w 684175"/>
            <a:gd name="connsiteY125" fmla="*/ 141111 h 239713"/>
            <a:gd name="connsiteX126" fmla="*/ 444714 w 684175"/>
            <a:gd name="connsiteY126" fmla="*/ 124007 h 239713"/>
            <a:gd name="connsiteX127" fmla="*/ 431885 w 684175"/>
            <a:gd name="connsiteY127" fmla="*/ 115455 h 239713"/>
            <a:gd name="connsiteX128" fmla="*/ 414781 w 684175"/>
            <a:gd name="connsiteY128" fmla="*/ 102627 h 239713"/>
            <a:gd name="connsiteX129" fmla="*/ 440438 w 684175"/>
            <a:gd name="connsiteY129" fmla="*/ 119731 h 239713"/>
            <a:gd name="connsiteX130" fmla="*/ 461818 w 684175"/>
            <a:gd name="connsiteY130" fmla="*/ 128283 h 239713"/>
            <a:gd name="connsiteX131" fmla="*/ 478922 w 684175"/>
            <a:gd name="connsiteY131" fmla="*/ 145388 h 239713"/>
            <a:gd name="connsiteX132" fmla="*/ 500303 w 684175"/>
            <a:gd name="connsiteY132" fmla="*/ 162492 h 239713"/>
            <a:gd name="connsiteX133" fmla="*/ 521683 w 684175"/>
            <a:gd name="connsiteY133" fmla="*/ 196701 h 239713"/>
            <a:gd name="connsiteX134" fmla="*/ 534512 w 684175"/>
            <a:gd name="connsiteY134" fmla="*/ 226633 h 239713"/>
            <a:gd name="connsiteX135" fmla="*/ 538788 w 684175"/>
            <a:gd name="connsiteY135" fmla="*/ 239462 h 239713"/>
            <a:gd name="connsiteX136" fmla="*/ 525959 w 684175"/>
            <a:gd name="connsiteY136" fmla="*/ 222357 h 239713"/>
            <a:gd name="connsiteX137" fmla="*/ 508855 w 684175"/>
            <a:gd name="connsiteY137" fmla="*/ 205253 h 239713"/>
            <a:gd name="connsiteX138" fmla="*/ 431885 w 684175"/>
            <a:gd name="connsiteY138" fmla="*/ 106903 h 239713"/>
            <a:gd name="connsiteX139" fmla="*/ 414781 w 684175"/>
            <a:gd name="connsiteY139" fmla="*/ 72694 h 239713"/>
            <a:gd name="connsiteX140" fmla="*/ 410505 w 684175"/>
            <a:gd name="connsiteY140" fmla="*/ 55590 h 239713"/>
            <a:gd name="connsiteX141" fmla="*/ 427609 w 684175"/>
            <a:gd name="connsiteY141" fmla="*/ 68418 h 239713"/>
            <a:gd name="connsiteX142" fmla="*/ 440438 w 684175"/>
            <a:gd name="connsiteY142" fmla="*/ 76970 h 239713"/>
            <a:gd name="connsiteX143" fmla="*/ 483199 w 684175"/>
            <a:gd name="connsiteY143" fmla="*/ 111179 h 239713"/>
            <a:gd name="connsiteX144" fmla="*/ 517407 w 684175"/>
            <a:gd name="connsiteY144" fmla="*/ 158216 h 239713"/>
            <a:gd name="connsiteX145" fmla="*/ 496027 w 684175"/>
            <a:gd name="connsiteY145" fmla="*/ 162492 h 239713"/>
            <a:gd name="connsiteX146" fmla="*/ 487475 w 684175"/>
            <a:gd name="connsiteY146" fmla="*/ 136835 h 239713"/>
            <a:gd name="connsiteX147" fmla="*/ 470370 w 684175"/>
            <a:gd name="connsiteY147" fmla="*/ 115455 h 239713"/>
            <a:gd name="connsiteX148" fmla="*/ 470370 w 684175"/>
            <a:gd name="connsiteY148" fmla="*/ 124007 h 239713"/>
            <a:gd name="connsiteX149" fmla="*/ 483199 w 684175"/>
            <a:gd name="connsiteY149" fmla="*/ 145388 h 239713"/>
            <a:gd name="connsiteX150" fmla="*/ 491751 w 684175"/>
            <a:gd name="connsiteY150" fmla="*/ 175320 h 239713"/>
            <a:gd name="connsiteX151" fmla="*/ 504579 w 684175"/>
            <a:gd name="connsiteY151" fmla="*/ 196701 h 239713"/>
            <a:gd name="connsiteX152" fmla="*/ 521683 w 684175"/>
            <a:gd name="connsiteY152" fmla="*/ 230909 h 239713"/>
            <a:gd name="connsiteX153" fmla="*/ 491751 w 684175"/>
            <a:gd name="connsiteY153" fmla="*/ 205253 h 239713"/>
            <a:gd name="connsiteX154" fmla="*/ 431885 w 684175"/>
            <a:gd name="connsiteY154" fmla="*/ 166768 h 239713"/>
            <a:gd name="connsiteX155" fmla="*/ 384848 w 684175"/>
            <a:gd name="connsiteY155" fmla="*/ 128283 h 239713"/>
            <a:gd name="connsiteX156" fmla="*/ 359192 w 684175"/>
            <a:gd name="connsiteY156" fmla="*/ 106903 h 239713"/>
            <a:gd name="connsiteX157" fmla="*/ 226633 w 684175"/>
            <a:gd name="connsiteY157" fmla="*/ 94074 h 239713"/>
            <a:gd name="connsiteX158" fmla="*/ 196700 w 684175"/>
            <a:gd name="connsiteY158" fmla="*/ 89798 h 239713"/>
            <a:gd name="connsiteX159" fmla="*/ 158215 w 684175"/>
            <a:gd name="connsiteY159" fmla="*/ 76970 h 239713"/>
            <a:gd name="connsiteX160" fmla="*/ 145387 w 684175"/>
            <a:gd name="connsiteY160" fmla="*/ 68418 h 239713"/>
            <a:gd name="connsiteX161" fmla="*/ 81246 w 684175"/>
            <a:gd name="connsiteY161" fmla="*/ 64142 h 239713"/>
            <a:gd name="connsiteX162" fmla="*/ 76970 w 684175"/>
            <a:gd name="connsiteY162" fmla="*/ 47037 h 239713"/>
            <a:gd name="connsiteX163" fmla="*/ 55589 w 684175"/>
            <a:gd name="connsiteY163" fmla="*/ 59866 h 239713"/>
            <a:gd name="connsiteX164" fmla="*/ 38485 w 684175"/>
            <a:gd name="connsiteY164" fmla="*/ 64142 h 239713"/>
            <a:gd name="connsiteX165" fmla="*/ 17104 w 684175"/>
            <a:gd name="connsiteY165" fmla="*/ 72694 h 239713"/>
            <a:gd name="connsiteX166" fmla="*/ 4276 w 684175"/>
            <a:gd name="connsiteY166" fmla="*/ 85522 h 239713"/>
            <a:gd name="connsiteX167" fmla="*/ 21380 w 684175"/>
            <a:gd name="connsiteY167" fmla="*/ 81246 h 239713"/>
            <a:gd name="connsiteX168" fmla="*/ 34209 w 684175"/>
            <a:gd name="connsiteY168" fmla="*/ 72694 h 239713"/>
            <a:gd name="connsiteX169" fmla="*/ 51313 w 684175"/>
            <a:gd name="connsiteY169" fmla="*/ 64142 h 239713"/>
            <a:gd name="connsiteX170" fmla="*/ 124007 w 684175"/>
            <a:gd name="connsiteY170" fmla="*/ 51313 h 239713"/>
            <a:gd name="connsiteX171" fmla="*/ 149663 w 684175"/>
            <a:gd name="connsiteY171" fmla="*/ 55590 h 239713"/>
            <a:gd name="connsiteX172" fmla="*/ 111178 w 684175"/>
            <a:gd name="connsiteY172" fmla="*/ 68418 h 239713"/>
            <a:gd name="connsiteX173" fmla="*/ 55589 w 684175"/>
            <a:gd name="connsiteY173" fmla="*/ 115455 h 239713"/>
            <a:gd name="connsiteX174" fmla="*/ 51313 w 684175"/>
            <a:gd name="connsiteY174" fmla="*/ 119731 h 239713"/>
            <a:gd name="connsiteX175" fmla="*/ 64141 w 684175"/>
            <a:gd name="connsiteY175" fmla="*/ 115455 h 239713"/>
            <a:gd name="connsiteX176" fmla="*/ 124007 w 684175"/>
            <a:gd name="connsiteY176" fmla="*/ 85522 h 239713"/>
            <a:gd name="connsiteX177" fmla="*/ 188148 w 684175"/>
            <a:gd name="connsiteY177" fmla="*/ 51313 h 239713"/>
            <a:gd name="connsiteX178" fmla="*/ 171044 w 684175"/>
            <a:gd name="connsiteY178" fmla="*/ 64142 h 239713"/>
            <a:gd name="connsiteX179" fmla="*/ 132559 w 684175"/>
            <a:gd name="connsiteY179" fmla="*/ 81246 h 239713"/>
            <a:gd name="connsiteX180" fmla="*/ 119730 w 684175"/>
            <a:gd name="connsiteY180" fmla="*/ 89798 h 239713"/>
            <a:gd name="connsiteX181" fmla="*/ 128283 w 684175"/>
            <a:gd name="connsiteY181" fmla="*/ 59866 h 239713"/>
            <a:gd name="connsiteX182" fmla="*/ 149663 w 684175"/>
            <a:gd name="connsiteY182" fmla="*/ 38485 h 239713"/>
            <a:gd name="connsiteX183" fmla="*/ 196700 w 684175"/>
            <a:gd name="connsiteY183" fmla="*/ 4276 h 239713"/>
            <a:gd name="connsiteX184" fmla="*/ 218081 w 684175"/>
            <a:gd name="connsiteY184" fmla="*/ 8553 h 239713"/>
            <a:gd name="connsiteX185" fmla="*/ 200976 w 684175"/>
            <a:gd name="connsiteY185" fmla="*/ 17105 h 239713"/>
            <a:gd name="connsiteX186" fmla="*/ 166768 w 684175"/>
            <a:gd name="connsiteY186" fmla="*/ 25657 h 239713"/>
            <a:gd name="connsiteX187" fmla="*/ 119730 w 684175"/>
            <a:gd name="connsiteY187" fmla="*/ 59866 h 239713"/>
            <a:gd name="connsiteX188" fmla="*/ 89798 w 684175"/>
            <a:gd name="connsiteY188" fmla="*/ 89798 h 239713"/>
            <a:gd name="connsiteX189" fmla="*/ 115454 w 684175"/>
            <a:gd name="connsiteY189" fmla="*/ 81246 h 239713"/>
            <a:gd name="connsiteX190" fmla="*/ 153939 w 684175"/>
            <a:gd name="connsiteY190" fmla="*/ 59866 h 239713"/>
            <a:gd name="connsiteX191" fmla="*/ 175320 w 684175"/>
            <a:gd name="connsiteY191" fmla="*/ 59866 h 23971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 ang="0">
              <a:pos x="connsiteX133" y="connsiteY133"/>
            </a:cxn>
            <a:cxn ang="0">
              <a:pos x="connsiteX134" y="connsiteY134"/>
            </a:cxn>
            <a:cxn ang="0">
              <a:pos x="connsiteX135" y="connsiteY135"/>
            </a:cxn>
            <a:cxn ang="0">
              <a:pos x="connsiteX136" y="connsiteY136"/>
            </a:cxn>
            <a:cxn ang="0">
              <a:pos x="connsiteX137" y="connsiteY137"/>
            </a:cxn>
            <a:cxn ang="0">
              <a:pos x="connsiteX138" y="connsiteY138"/>
            </a:cxn>
            <a:cxn ang="0">
              <a:pos x="connsiteX139" y="connsiteY139"/>
            </a:cxn>
            <a:cxn ang="0">
              <a:pos x="connsiteX140" y="connsiteY140"/>
            </a:cxn>
            <a:cxn ang="0">
              <a:pos x="connsiteX141" y="connsiteY141"/>
            </a:cxn>
            <a:cxn ang="0">
              <a:pos x="connsiteX142" y="connsiteY142"/>
            </a:cxn>
            <a:cxn ang="0">
              <a:pos x="connsiteX143" y="connsiteY143"/>
            </a:cxn>
            <a:cxn ang="0">
              <a:pos x="connsiteX144" y="connsiteY144"/>
            </a:cxn>
            <a:cxn ang="0">
              <a:pos x="connsiteX145" y="connsiteY145"/>
            </a:cxn>
            <a:cxn ang="0">
              <a:pos x="connsiteX146" y="connsiteY146"/>
            </a:cxn>
            <a:cxn ang="0">
              <a:pos x="connsiteX147" y="connsiteY147"/>
            </a:cxn>
            <a:cxn ang="0">
              <a:pos x="connsiteX148" y="connsiteY148"/>
            </a:cxn>
            <a:cxn ang="0">
              <a:pos x="connsiteX149" y="connsiteY149"/>
            </a:cxn>
            <a:cxn ang="0">
              <a:pos x="connsiteX150" y="connsiteY150"/>
            </a:cxn>
            <a:cxn ang="0">
              <a:pos x="connsiteX151" y="connsiteY151"/>
            </a:cxn>
            <a:cxn ang="0">
              <a:pos x="connsiteX152" y="connsiteY152"/>
            </a:cxn>
            <a:cxn ang="0">
              <a:pos x="connsiteX153" y="connsiteY153"/>
            </a:cxn>
            <a:cxn ang="0">
              <a:pos x="connsiteX154" y="connsiteY154"/>
            </a:cxn>
            <a:cxn ang="0">
              <a:pos x="connsiteX155" y="connsiteY155"/>
            </a:cxn>
            <a:cxn ang="0">
              <a:pos x="connsiteX156" y="connsiteY156"/>
            </a:cxn>
            <a:cxn ang="0">
              <a:pos x="connsiteX157" y="connsiteY157"/>
            </a:cxn>
            <a:cxn ang="0">
              <a:pos x="connsiteX158" y="connsiteY158"/>
            </a:cxn>
            <a:cxn ang="0">
              <a:pos x="connsiteX159" y="connsiteY159"/>
            </a:cxn>
            <a:cxn ang="0">
              <a:pos x="connsiteX160" y="connsiteY160"/>
            </a:cxn>
            <a:cxn ang="0">
              <a:pos x="connsiteX161" y="connsiteY161"/>
            </a:cxn>
            <a:cxn ang="0">
              <a:pos x="connsiteX162" y="connsiteY162"/>
            </a:cxn>
            <a:cxn ang="0">
              <a:pos x="connsiteX163" y="connsiteY163"/>
            </a:cxn>
            <a:cxn ang="0">
              <a:pos x="connsiteX164" y="connsiteY164"/>
            </a:cxn>
            <a:cxn ang="0">
              <a:pos x="connsiteX165" y="connsiteY165"/>
            </a:cxn>
            <a:cxn ang="0">
              <a:pos x="connsiteX166" y="connsiteY166"/>
            </a:cxn>
            <a:cxn ang="0">
              <a:pos x="connsiteX167" y="connsiteY167"/>
            </a:cxn>
            <a:cxn ang="0">
              <a:pos x="connsiteX168" y="connsiteY168"/>
            </a:cxn>
            <a:cxn ang="0">
              <a:pos x="connsiteX169" y="connsiteY169"/>
            </a:cxn>
            <a:cxn ang="0">
              <a:pos x="connsiteX170" y="connsiteY170"/>
            </a:cxn>
            <a:cxn ang="0">
              <a:pos x="connsiteX171" y="connsiteY171"/>
            </a:cxn>
            <a:cxn ang="0">
              <a:pos x="connsiteX172" y="connsiteY172"/>
            </a:cxn>
            <a:cxn ang="0">
              <a:pos x="connsiteX173" y="connsiteY173"/>
            </a:cxn>
            <a:cxn ang="0">
              <a:pos x="connsiteX174" y="connsiteY174"/>
            </a:cxn>
            <a:cxn ang="0">
              <a:pos x="connsiteX175" y="connsiteY175"/>
            </a:cxn>
            <a:cxn ang="0">
              <a:pos x="connsiteX176" y="connsiteY176"/>
            </a:cxn>
            <a:cxn ang="0">
              <a:pos x="connsiteX177" y="connsiteY177"/>
            </a:cxn>
            <a:cxn ang="0">
              <a:pos x="connsiteX178" y="connsiteY178"/>
            </a:cxn>
            <a:cxn ang="0">
              <a:pos x="connsiteX179" y="connsiteY179"/>
            </a:cxn>
            <a:cxn ang="0">
              <a:pos x="connsiteX180" y="connsiteY180"/>
            </a:cxn>
            <a:cxn ang="0">
              <a:pos x="connsiteX181" y="connsiteY181"/>
            </a:cxn>
            <a:cxn ang="0">
              <a:pos x="connsiteX182" y="connsiteY182"/>
            </a:cxn>
            <a:cxn ang="0">
              <a:pos x="connsiteX183" y="connsiteY183"/>
            </a:cxn>
            <a:cxn ang="0">
              <a:pos x="connsiteX184" y="connsiteY184"/>
            </a:cxn>
            <a:cxn ang="0">
              <a:pos x="connsiteX185" y="connsiteY185"/>
            </a:cxn>
            <a:cxn ang="0">
              <a:pos x="connsiteX186" y="connsiteY186"/>
            </a:cxn>
            <a:cxn ang="0">
              <a:pos x="connsiteX187" y="connsiteY187"/>
            </a:cxn>
            <a:cxn ang="0">
              <a:pos x="connsiteX188" y="connsiteY188"/>
            </a:cxn>
            <a:cxn ang="0">
              <a:pos x="connsiteX189" y="connsiteY189"/>
            </a:cxn>
            <a:cxn ang="0">
              <a:pos x="connsiteX190" y="connsiteY190"/>
            </a:cxn>
            <a:cxn ang="0">
              <a:pos x="connsiteX191" y="connsiteY191"/>
            </a:cxn>
          </a:cxnLst>
          <a:rect l="l" t="t" r="r" b="b"/>
          <a:pathLst>
            <a:path w="684175" h="239713">
              <a:moveTo>
                <a:pt x="98350" y="94074"/>
              </a:moveTo>
              <a:cubicBezTo>
                <a:pt x="106902" y="95500"/>
                <a:pt x="115359" y="97733"/>
                <a:pt x="124007" y="98351"/>
              </a:cubicBezTo>
              <a:cubicBezTo>
                <a:pt x="155318" y="100588"/>
                <a:pt x="186846" y="99504"/>
                <a:pt x="218081" y="102627"/>
              </a:cubicBezTo>
              <a:cubicBezTo>
                <a:pt x="229776" y="103797"/>
                <a:pt x="263971" y="112477"/>
                <a:pt x="252289" y="111179"/>
              </a:cubicBezTo>
              <a:cubicBezTo>
                <a:pt x="225968" y="108254"/>
                <a:pt x="192736" y="104302"/>
                <a:pt x="166768" y="102627"/>
              </a:cubicBezTo>
              <a:cubicBezTo>
                <a:pt x="138284" y="100789"/>
                <a:pt x="109753" y="99776"/>
                <a:pt x="81246" y="98351"/>
              </a:cubicBezTo>
              <a:cubicBezTo>
                <a:pt x="88373" y="94075"/>
                <a:pt x="95031" y="88898"/>
                <a:pt x="102626" y="85522"/>
              </a:cubicBezTo>
              <a:cubicBezTo>
                <a:pt x="107996" y="83135"/>
                <a:pt x="114060" y="82792"/>
                <a:pt x="119730" y="81246"/>
              </a:cubicBezTo>
              <a:cubicBezTo>
                <a:pt x="129741" y="78516"/>
                <a:pt x="139469" y="74636"/>
                <a:pt x="149663" y="72694"/>
              </a:cubicBezTo>
              <a:cubicBezTo>
                <a:pt x="169465" y="68922"/>
                <a:pt x="209528" y="64142"/>
                <a:pt x="209528" y="64142"/>
              </a:cubicBezTo>
              <a:cubicBezTo>
                <a:pt x="233759" y="65567"/>
                <a:pt x="258217" y="64817"/>
                <a:pt x="282222" y="68418"/>
              </a:cubicBezTo>
              <a:cubicBezTo>
                <a:pt x="287304" y="69180"/>
                <a:pt x="290354" y="74883"/>
                <a:pt x="295050" y="76970"/>
              </a:cubicBezTo>
              <a:cubicBezTo>
                <a:pt x="303288" y="80631"/>
                <a:pt x="320707" y="85522"/>
                <a:pt x="320707" y="85522"/>
              </a:cubicBezTo>
              <a:cubicBezTo>
                <a:pt x="316431" y="88373"/>
                <a:pt x="312966" y="93347"/>
                <a:pt x="307879" y="94074"/>
              </a:cubicBezTo>
              <a:cubicBezTo>
                <a:pt x="302061" y="94905"/>
                <a:pt x="296511" y="91073"/>
                <a:pt x="290774" y="89798"/>
              </a:cubicBezTo>
              <a:cubicBezTo>
                <a:pt x="283679" y="88221"/>
                <a:pt x="276573" y="86655"/>
                <a:pt x="269394" y="85522"/>
              </a:cubicBezTo>
              <a:cubicBezTo>
                <a:pt x="192986" y="73458"/>
                <a:pt x="232211" y="82641"/>
                <a:pt x="192424" y="72694"/>
              </a:cubicBezTo>
              <a:cubicBezTo>
                <a:pt x="186084" y="73222"/>
                <a:pt x="119544" y="61769"/>
                <a:pt x="145387" y="94074"/>
              </a:cubicBezTo>
              <a:cubicBezTo>
                <a:pt x="148203" y="97594"/>
                <a:pt x="153881" y="97113"/>
                <a:pt x="158215" y="98351"/>
              </a:cubicBezTo>
              <a:cubicBezTo>
                <a:pt x="163866" y="99966"/>
                <a:pt x="169459" y="102198"/>
                <a:pt x="175320" y="102627"/>
              </a:cubicBezTo>
              <a:cubicBezTo>
                <a:pt x="227995" y="106481"/>
                <a:pt x="280797" y="108328"/>
                <a:pt x="333535" y="111179"/>
              </a:cubicBezTo>
              <a:cubicBezTo>
                <a:pt x="343513" y="114030"/>
                <a:pt x="353401" y="117214"/>
                <a:pt x="363468" y="119731"/>
              </a:cubicBezTo>
              <a:lnTo>
                <a:pt x="397677" y="128283"/>
              </a:lnTo>
              <a:cubicBezTo>
                <a:pt x="364185" y="139446"/>
                <a:pt x="414025" y="125385"/>
                <a:pt x="350640" y="124007"/>
              </a:cubicBezTo>
              <a:lnTo>
                <a:pt x="153939" y="119731"/>
              </a:lnTo>
              <a:cubicBezTo>
                <a:pt x="149663" y="118306"/>
                <a:pt x="145331" y="117038"/>
                <a:pt x="141111" y="115455"/>
              </a:cubicBezTo>
              <a:cubicBezTo>
                <a:pt x="133924" y="112760"/>
                <a:pt x="127082" y="109109"/>
                <a:pt x="119730" y="106903"/>
              </a:cubicBezTo>
              <a:cubicBezTo>
                <a:pt x="112769" y="104815"/>
                <a:pt x="105477" y="104052"/>
                <a:pt x="98350" y="102627"/>
              </a:cubicBezTo>
              <a:cubicBezTo>
                <a:pt x="141459" y="88257"/>
                <a:pt x="74591" y="110183"/>
                <a:pt x="128283" y="94074"/>
              </a:cubicBezTo>
              <a:cubicBezTo>
                <a:pt x="136917" y="91484"/>
                <a:pt x="145124" y="87411"/>
                <a:pt x="153939" y="85522"/>
              </a:cubicBezTo>
              <a:cubicBezTo>
                <a:pt x="165176" y="83114"/>
                <a:pt x="176745" y="82671"/>
                <a:pt x="188148" y="81246"/>
              </a:cubicBezTo>
              <a:cubicBezTo>
                <a:pt x="263692" y="84097"/>
                <a:pt x="339444" y="83520"/>
                <a:pt x="414781" y="89798"/>
              </a:cubicBezTo>
              <a:cubicBezTo>
                <a:pt x="423434" y="90519"/>
                <a:pt x="461488" y="111754"/>
                <a:pt x="470370" y="115455"/>
              </a:cubicBezTo>
              <a:cubicBezTo>
                <a:pt x="478691" y="118922"/>
                <a:pt x="496027" y="124007"/>
                <a:pt x="496027" y="124007"/>
              </a:cubicBezTo>
              <a:cubicBezTo>
                <a:pt x="491751" y="125432"/>
                <a:pt x="487706" y="128283"/>
                <a:pt x="483199" y="128283"/>
              </a:cubicBezTo>
              <a:cubicBezTo>
                <a:pt x="452227" y="128283"/>
                <a:pt x="453650" y="122986"/>
                <a:pt x="427609" y="119731"/>
              </a:cubicBezTo>
              <a:cubicBezTo>
                <a:pt x="400588" y="116353"/>
                <a:pt x="373459" y="113889"/>
                <a:pt x="346363" y="111179"/>
              </a:cubicBezTo>
              <a:lnTo>
                <a:pt x="299326" y="106903"/>
              </a:lnTo>
              <a:cubicBezTo>
                <a:pt x="282227" y="105416"/>
                <a:pt x="265169" y="103147"/>
                <a:pt x="248013" y="102627"/>
              </a:cubicBezTo>
              <a:cubicBezTo>
                <a:pt x="200976" y="101202"/>
                <a:pt x="60006" y="94443"/>
                <a:pt x="106902" y="98351"/>
              </a:cubicBezTo>
              <a:cubicBezTo>
                <a:pt x="170885" y="103683"/>
                <a:pt x="235185" y="104052"/>
                <a:pt x="299326" y="106903"/>
              </a:cubicBezTo>
              <a:cubicBezTo>
                <a:pt x="310729" y="108328"/>
                <a:pt x="322200" y="109290"/>
                <a:pt x="333535" y="111179"/>
              </a:cubicBezTo>
              <a:cubicBezTo>
                <a:pt x="344275" y="112969"/>
                <a:pt x="353299" y="116341"/>
                <a:pt x="363468" y="119731"/>
              </a:cubicBezTo>
              <a:cubicBezTo>
                <a:pt x="367744" y="116880"/>
                <a:pt x="373086" y="115192"/>
                <a:pt x="376296" y="111179"/>
              </a:cubicBezTo>
              <a:cubicBezTo>
                <a:pt x="379112" y="107659"/>
                <a:pt x="384691" y="100182"/>
                <a:pt x="380572" y="98351"/>
              </a:cubicBezTo>
              <a:cubicBezTo>
                <a:pt x="367482" y="92533"/>
                <a:pt x="352010" y="95967"/>
                <a:pt x="337811" y="94074"/>
              </a:cubicBezTo>
              <a:cubicBezTo>
                <a:pt x="330607" y="93113"/>
                <a:pt x="323443" y="91710"/>
                <a:pt x="316431" y="89798"/>
              </a:cubicBezTo>
              <a:cubicBezTo>
                <a:pt x="307734" y="87426"/>
                <a:pt x="299390" y="83897"/>
                <a:pt x="290774" y="81246"/>
              </a:cubicBezTo>
              <a:cubicBezTo>
                <a:pt x="280856" y="78194"/>
                <a:pt x="270746" y="75789"/>
                <a:pt x="260842" y="72694"/>
              </a:cubicBezTo>
              <a:cubicBezTo>
                <a:pt x="247935" y="68661"/>
                <a:pt x="235520" y="62963"/>
                <a:pt x="222357" y="59866"/>
              </a:cubicBezTo>
              <a:cubicBezTo>
                <a:pt x="213416" y="57762"/>
                <a:pt x="150367" y="51811"/>
                <a:pt x="145387" y="51313"/>
              </a:cubicBezTo>
              <a:cubicBezTo>
                <a:pt x="153939" y="49888"/>
                <a:pt x="162542" y="48737"/>
                <a:pt x="171044" y="47037"/>
              </a:cubicBezTo>
              <a:cubicBezTo>
                <a:pt x="176807" y="45884"/>
                <a:pt x="182298" y="43318"/>
                <a:pt x="188148" y="42761"/>
              </a:cubicBezTo>
              <a:cubicBezTo>
                <a:pt x="212312" y="40460"/>
                <a:pt x="236611" y="39910"/>
                <a:pt x="260842" y="38485"/>
              </a:cubicBezTo>
              <a:cubicBezTo>
                <a:pt x="303603" y="39910"/>
                <a:pt x="346409" y="40320"/>
                <a:pt x="389124" y="42761"/>
              </a:cubicBezTo>
              <a:cubicBezTo>
                <a:pt x="396380" y="43176"/>
                <a:pt x="403825" y="44174"/>
                <a:pt x="410505" y="47037"/>
              </a:cubicBezTo>
              <a:cubicBezTo>
                <a:pt x="414211" y="48625"/>
                <a:pt x="416206" y="52739"/>
                <a:pt x="419057" y="55590"/>
              </a:cubicBezTo>
              <a:cubicBezTo>
                <a:pt x="336241" y="65942"/>
                <a:pt x="331109" y="68286"/>
                <a:pt x="200976" y="55590"/>
              </a:cubicBezTo>
              <a:cubicBezTo>
                <a:pt x="195861" y="55091"/>
                <a:pt x="206677" y="47037"/>
                <a:pt x="209528" y="42761"/>
              </a:cubicBezTo>
              <a:cubicBezTo>
                <a:pt x="239461" y="45612"/>
                <a:pt x="269472" y="47730"/>
                <a:pt x="299326" y="51313"/>
              </a:cubicBezTo>
              <a:cubicBezTo>
                <a:pt x="322098" y="54046"/>
                <a:pt x="315040" y="52858"/>
                <a:pt x="320707" y="72694"/>
              </a:cubicBezTo>
              <a:cubicBezTo>
                <a:pt x="321945" y="77028"/>
                <a:pt x="329259" y="84097"/>
                <a:pt x="324983" y="85522"/>
              </a:cubicBezTo>
              <a:cubicBezTo>
                <a:pt x="317762" y="87929"/>
                <a:pt x="283368" y="77663"/>
                <a:pt x="273670" y="76970"/>
              </a:cubicBezTo>
              <a:cubicBezTo>
                <a:pt x="240939" y="74632"/>
                <a:pt x="208098" y="74230"/>
                <a:pt x="175320" y="72694"/>
              </a:cubicBezTo>
              <a:lnTo>
                <a:pt x="0" y="64142"/>
              </a:lnTo>
              <a:cubicBezTo>
                <a:pt x="5701" y="62717"/>
                <a:pt x="11227" y="59866"/>
                <a:pt x="17104" y="59866"/>
              </a:cubicBezTo>
              <a:cubicBezTo>
                <a:pt x="21612" y="59866"/>
                <a:pt x="25790" y="62366"/>
                <a:pt x="29933" y="64142"/>
              </a:cubicBezTo>
              <a:cubicBezTo>
                <a:pt x="35618" y="66578"/>
                <a:pt x="51915" y="76428"/>
                <a:pt x="59865" y="76970"/>
              </a:cubicBezTo>
              <a:cubicBezTo>
                <a:pt x="118239" y="80950"/>
                <a:pt x="176745" y="82671"/>
                <a:pt x="235185" y="85522"/>
              </a:cubicBezTo>
              <a:lnTo>
                <a:pt x="372020" y="119731"/>
              </a:lnTo>
              <a:cubicBezTo>
                <a:pt x="389124" y="124007"/>
                <a:pt x="407128" y="125614"/>
                <a:pt x="423333" y="132559"/>
              </a:cubicBezTo>
              <a:cubicBezTo>
                <a:pt x="459125" y="147899"/>
                <a:pt x="443557" y="140533"/>
                <a:pt x="470370" y="153940"/>
              </a:cubicBezTo>
              <a:cubicBezTo>
                <a:pt x="480573" y="184548"/>
                <a:pt x="480916" y="172412"/>
                <a:pt x="414781" y="162492"/>
              </a:cubicBezTo>
              <a:cubicBezTo>
                <a:pt x="405866" y="161155"/>
                <a:pt x="397565" y="157105"/>
                <a:pt x="389124" y="153940"/>
              </a:cubicBezTo>
              <a:cubicBezTo>
                <a:pt x="363349" y="144274"/>
                <a:pt x="336777" y="136318"/>
                <a:pt x="312155" y="124007"/>
              </a:cubicBezTo>
              <a:cubicBezTo>
                <a:pt x="297901" y="116880"/>
                <a:pt x="283455" y="110126"/>
                <a:pt x="269394" y="102627"/>
              </a:cubicBezTo>
              <a:cubicBezTo>
                <a:pt x="262060" y="98716"/>
                <a:pt x="255447" y="93515"/>
                <a:pt x="248013" y="89798"/>
              </a:cubicBezTo>
              <a:cubicBezTo>
                <a:pt x="212603" y="72093"/>
                <a:pt x="259124" y="101481"/>
                <a:pt x="222357" y="76970"/>
              </a:cubicBezTo>
              <a:cubicBezTo>
                <a:pt x="220932" y="72694"/>
                <a:pt x="220270" y="68082"/>
                <a:pt x="218081" y="64142"/>
              </a:cubicBezTo>
              <a:cubicBezTo>
                <a:pt x="213089" y="55157"/>
                <a:pt x="192423" y="32784"/>
                <a:pt x="200976" y="38485"/>
              </a:cubicBezTo>
              <a:cubicBezTo>
                <a:pt x="205252" y="41336"/>
                <a:pt x="209081" y="45013"/>
                <a:pt x="213805" y="47037"/>
              </a:cubicBezTo>
              <a:cubicBezTo>
                <a:pt x="219290" y="49388"/>
                <a:pt x="248236" y="54721"/>
                <a:pt x="252289" y="55590"/>
              </a:cubicBezTo>
              <a:cubicBezTo>
                <a:pt x="292321" y="64169"/>
                <a:pt x="279286" y="60313"/>
                <a:pt x="303603" y="68418"/>
              </a:cubicBezTo>
              <a:cubicBezTo>
                <a:pt x="307879" y="72694"/>
                <a:pt x="322417" y="80391"/>
                <a:pt x="316431" y="81246"/>
              </a:cubicBezTo>
              <a:cubicBezTo>
                <a:pt x="302041" y="83302"/>
                <a:pt x="287772" y="76219"/>
                <a:pt x="273670" y="72694"/>
              </a:cubicBezTo>
              <a:cubicBezTo>
                <a:pt x="186861" y="50992"/>
                <a:pt x="300595" y="74658"/>
                <a:pt x="226633" y="59866"/>
              </a:cubicBezTo>
              <a:cubicBezTo>
                <a:pt x="211730" y="52414"/>
                <a:pt x="204529" y="48221"/>
                <a:pt x="188148" y="42761"/>
              </a:cubicBezTo>
              <a:cubicBezTo>
                <a:pt x="182573" y="40903"/>
                <a:pt x="176745" y="39910"/>
                <a:pt x="171044" y="38485"/>
              </a:cubicBezTo>
              <a:cubicBezTo>
                <a:pt x="166145" y="33587"/>
                <a:pt x="149845" y="22879"/>
                <a:pt x="175320" y="21381"/>
              </a:cubicBezTo>
              <a:cubicBezTo>
                <a:pt x="195291" y="20206"/>
                <a:pt x="215266" y="23790"/>
                <a:pt x="235185" y="25657"/>
              </a:cubicBezTo>
              <a:cubicBezTo>
                <a:pt x="305622" y="32260"/>
                <a:pt x="290715" y="29921"/>
                <a:pt x="333535" y="38485"/>
              </a:cubicBezTo>
              <a:cubicBezTo>
                <a:pt x="346417" y="47073"/>
                <a:pt x="348278" y="49080"/>
                <a:pt x="363468" y="55590"/>
              </a:cubicBezTo>
              <a:cubicBezTo>
                <a:pt x="367611" y="57366"/>
                <a:pt x="372020" y="58441"/>
                <a:pt x="376296" y="59866"/>
              </a:cubicBezTo>
              <a:cubicBezTo>
                <a:pt x="350768" y="68375"/>
                <a:pt x="360149" y="67153"/>
                <a:pt x="316431" y="59866"/>
              </a:cubicBezTo>
              <a:cubicBezTo>
                <a:pt x="297312" y="56679"/>
                <a:pt x="269780" y="44732"/>
                <a:pt x="252289" y="38485"/>
              </a:cubicBezTo>
              <a:cubicBezTo>
                <a:pt x="243800" y="35453"/>
                <a:pt x="235185" y="32784"/>
                <a:pt x="226633" y="29933"/>
              </a:cubicBezTo>
              <a:cubicBezTo>
                <a:pt x="225208" y="25657"/>
                <a:pt x="217860" y="17405"/>
                <a:pt x="222357" y="17105"/>
              </a:cubicBezTo>
              <a:cubicBezTo>
                <a:pt x="263946" y="14332"/>
                <a:pt x="315536" y="33281"/>
                <a:pt x="354916" y="42761"/>
              </a:cubicBezTo>
              <a:cubicBezTo>
                <a:pt x="491973" y="75756"/>
                <a:pt x="495847" y="69978"/>
                <a:pt x="602929" y="106903"/>
              </a:cubicBezTo>
              <a:cubicBezTo>
                <a:pt x="624370" y="114297"/>
                <a:pt x="650767" y="125402"/>
                <a:pt x="671347" y="136835"/>
              </a:cubicBezTo>
              <a:cubicBezTo>
                <a:pt x="675840" y="139331"/>
                <a:pt x="679899" y="142537"/>
                <a:pt x="684175" y="145388"/>
              </a:cubicBezTo>
              <a:cubicBezTo>
                <a:pt x="636838" y="157222"/>
                <a:pt x="646452" y="156522"/>
                <a:pt x="560168" y="145388"/>
              </a:cubicBezTo>
              <a:cubicBezTo>
                <a:pt x="550685" y="144164"/>
                <a:pt x="543436" y="135991"/>
                <a:pt x="534512" y="132559"/>
              </a:cubicBezTo>
              <a:cubicBezTo>
                <a:pt x="524827" y="128834"/>
                <a:pt x="514423" y="127288"/>
                <a:pt x="504579" y="124007"/>
              </a:cubicBezTo>
              <a:cubicBezTo>
                <a:pt x="497297" y="121580"/>
                <a:pt x="490481" y="117882"/>
                <a:pt x="483199" y="115455"/>
              </a:cubicBezTo>
              <a:cubicBezTo>
                <a:pt x="477623" y="113597"/>
                <a:pt x="471723" y="112868"/>
                <a:pt x="466094" y="111179"/>
              </a:cubicBezTo>
              <a:cubicBezTo>
                <a:pt x="414040" y="95563"/>
                <a:pt x="462759" y="108207"/>
                <a:pt x="423333" y="98351"/>
              </a:cubicBezTo>
              <a:cubicBezTo>
                <a:pt x="406833" y="90100"/>
                <a:pt x="362815" y="70084"/>
                <a:pt x="453266" y="98351"/>
              </a:cubicBezTo>
              <a:cubicBezTo>
                <a:pt x="460571" y="100634"/>
                <a:pt x="496038" y="126151"/>
                <a:pt x="500303" y="128283"/>
              </a:cubicBezTo>
              <a:cubicBezTo>
                <a:pt x="508366" y="132314"/>
                <a:pt x="517407" y="133984"/>
                <a:pt x="525959" y="136835"/>
              </a:cubicBezTo>
              <a:cubicBezTo>
                <a:pt x="530235" y="135410"/>
                <a:pt x="535601" y="135746"/>
                <a:pt x="538788" y="132559"/>
              </a:cubicBezTo>
              <a:cubicBezTo>
                <a:pt x="543971" y="127376"/>
                <a:pt x="545008" y="112086"/>
                <a:pt x="538788" y="106903"/>
              </a:cubicBezTo>
              <a:cubicBezTo>
                <a:pt x="532891" y="101989"/>
                <a:pt x="524421" y="101469"/>
                <a:pt x="517407" y="98351"/>
              </a:cubicBezTo>
              <a:cubicBezTo>
                <a:pt x="511582" y="95762"/>
                <a:pt x="506106" y="92436"/>
                <a:pt x="500303" y="89798"/>
              </a:cubicBezTo>
              <a:cubicBezTo>
                <a:pt x="463722" y="73170"/>
                <a:pt x="472500" y="80869"/>
                <a:pt x="436161" y="55590"/>
              </a:cubicBezTo>
              <a:cubicBezTo>
                <a:pt x="414396" y="40449"/>
                <a:pt x="393514" y="24076"/>
                <a:pt x="372020" y="8553"/>
              </a:cubicBezTo>
              <a:cubicBezTo>
                <a:pt x="367854" y="5544"/>
                <a:pt x="359192" y="0"/>
                <a:pt x="359192" y="0"/>
              </a:cubicBezTo>
              <a:cubicBezTo>
                <a:pt x="363653" y="13385"/>
                <a:pt x="364033" y="19033"/>
                <a:pt x="376296" y="29933"/>
              </a:cubicBezTo>
              <a:cubicBezTo>
                <a:pt x="383978" y="36762"/>
                <a:pt x="393927" y="40616"/>
                <a:pt x="401953" y="47037"/>
              </a:cubicBezTo>
              <a:cubicBezTo>
                <a:pt x="462884" y="95782"/>
                <a:pt x="365744" y="28602"/>
                <a:pt x="444714" y="81246"/>
              </a:cubicBezTo>
              <a:cubicBezTo>
                <a:pt x="451841" y="91224"/>
                <a:pt x="458618" y="101460"/>
                <a:pt x="466094" y="111179"/>
              </a:cubicBezTo>
              <a:cubicBezTo>
                <a:pt x="472882" y="120003"/>
                <a:pt x="481091" y="127715"/>
                <a:pt x="487475" y="136835"/>
              </a:cubicBezTo>
              <a:cubicBezTo>
                <a:pt x="491131" y="142057"/>
                <a:pt x="493516" y="148081"/>
                <a:pt x="496027" y="153940"/>
              </a:cubicBezTo>
              <a:cubicBezTo>
                <a:pt x="497802" y="158083"/>
                <a:pt x="503490" y="163581"/>
                <a:pt x="500303" y="166768"/>
              </a:cubicBezTo>
              <a:cubicBezTo>
                <a:pt x="497116" y="169955"/>
                <a:pt x="491751" y="163917"/>
                <a:pt x="487475" y="162492"/>
              </a:cubicBezTo>
              <a:cubicBezTo>
                <a:pt x="442976" y="117997"/>
                <a:pt x="503503" y="176843"/>
                <a:pt x="461818" y="141111"/>
              </a:cubicBezTo>
              <a:cubicBezTo>
                <a:pt x="455696" y="135864"/>
                <a:pt x="450836" y="129254"/>
                <a:pt x="444714" y="124007"/>
              </a:cubicBezTo>
              <a:cubicBezTo>
                <a:pt x="440812" y="120662"/>
                <a:pt x="436067" y="118442"/>
                <a:pt x="431885" y="115455"/>
              </a:cubicBezTo>
              <a:cubicBezTo>
                <a:pt x="426086" y="111313"/>
                <a:pt x="408407" y="99440"/>
                <a:pt x="414781" y="102627"/>
              </a:cubicBezTo>
              <a:cubicBezTo>
                <a:pt x="423975" y="107223"/>
                <a:pt x="430895" y="115914"/>
                <a:pt x="440438" y="119731"/>
              </a:cubicBezTo>
              <a:lnTo>
                <a:pt x="461818" y="128283"/>
              </a:lnTo>
              <a:cubicBezTo>
                <a:pt x="467519" y="133985"/>
                <a:pt x="472896" y="140031"/>
                <a:pt x="478922" y="145388"/>
              </a:cubicBezTo>
              <a:cubicBezTo>
                <a:pt x="485743" y="151452"/>
                <a:pt x="494460" y="155481"/>
                <a:pt x="500303" y="162492"/>
              </a:cubicBezTo>
              <a:cubicBezTo>
                <a:pt x="508911" y="172822"/>
                <a:pt x="515355" y="184836"/>
                <a:pt x="521683" y="196701"/>
              </a:cubicBezTo>
              <a:cubicBezTo>
                <a:pt x="526791" y="206279"/>
                <a:pt x="530480" y="216554"/>
                <a:pt x="534512" y="226633"/>
              </a:cubicBezTo>
              <a:cubicBezTo>
                <a:pt x="536186" y="230818"/>
                <a:pt x="542820" y="241478"/>
                <a:pt x="538788" y="239462"/>
              </a:cubicBezTo>
              <a:cubicBezTo>
                <a:pt x="532413" y="236275"/>
                <a:pt x="530652" y="227721"/>
                <a:pt x="525959" y="222357"/>
              </a:cubicBezTo>
              <a:cubicBezTo>
                <a:pt x="520650" y="216289"/>
                <a:pt x="514249" y="211246"/>
                <a:pt x="508855" y="205253"/>
              </a:cubicBezTo>
              <a:cubicBezTo>
                <a:pt x="458104" y="148862"/>
                <a:pt x="457700" y="155305"/>
                <a:pt x="431885" y="106903"/>
              </a:cubicBezTo>
              <a:cubicBezTo>
                <a:pt x="425885" y="95654"/>
                <a:pt x="419684" y="84462"/>
                <a:pt x="414781" y="72694"/>
              </a:cubicBezTo>
              <a:cubicBezTo>
                <a:pt x="412521" y="67269"/>
                <a:pt x="404930" y="57448"/>
                <a:pt x="410505" y="55590"/>
              </a:cubicBezTo>
              <a:cubicBezTo>
                <a:pt x="417266" y="53336"/>
                <a:pt x="421810" y="64276"/>
                <a:pt x="427609" y="68418"/>
              </a:cubicBezTo>
              <a:cubicBezTo>
                <a:pt x="431791" y="71405"/>
                <a:pt x="436364" y="73836"/>
                <a:pt x="440438" y="76970"/>
              </a:cubicBezTo>
              <a:cubicBezTo>
                <a:pt x="454906" y="88099"/>
                <a:pt x="473074" y="95991"/>
                <a:pt x="483199" y="111179"/>
              </a:cubicBezTo>
              <a:cubicBezTo>
                <a:pt x="505366" y="144429"/>
                <a:pt x="493882" y="128809"/>
                <a:pt x="517407" y="158216"/>
              </a:cubicBezTo>
              <a:cubicBezTo>
                <a:pt x="519871" y="168073"/>
                <a:pt x="533660" y="204830"/>
                <a:pt x="496027" y="162492"/>
              </a:cubicBezTo>
              <a:cubicBezTo>
                <a:pt x="490038" y="155754"/>
                <a:pt x="491792" y="144749"/>
                <a:pt x="487475" y="136835"/>
              </a:cubicBezTo>
              <a:cubicBezTo>
                <a:pt x="483105" y="128823"/>
                <a:pt x="475846" y="122756"/>
                <a:pt x="470370" y="115455"/>
              </a:cubicBezTo>
              <a:cubicBezTo>
                <a:pt x="466017" y="109651"/>
                <a:pt x="447279" y="77826"/>
                <a:pt x="470370" y="124007"/>
              </a:cubicBezTo>
              <a:cubicBezTo>
                <a:pt x="474087" y="131441"/>
                <a:pt x="478923" y="138261"/>
                <a:pt x="483199" y="145388"/>
              </a:cubicBezTo>
              <a:cubicBezTo>
                <a:pt x="484569" y="150869"/>
                <a:pt x="488684" y="169185"/>
                <a:pt x="491751" y="175320"/>
              </a:cubicBezTo>
              <a:cubicBezTo>
                <a:pt x="495468" y="182754"/>
                <a:pt x="500639" y="189383"/>
                <a:pt x="504579" y="196701"/>
              </a:cubicBezTo>
              <a:cubicBezTo>
                <a:pt x="510623" y="207926"/>
                <a:pt x="530698" y="239924"/>
                <a:pt x="521683" y="230909"/>
              </a:cubicBezTo>
              <a:cubicBezTo>
                <a:pt x="509634" y="218860"/>
                <a:pt x="506836" y="214853"/>
                <a:pt x="491751" y="205253"/>
              </a:cubicBezTo>
              <a:cubicBezTo>
                <a:pt x="449076" y="178096"/>
                <a:pt x="473406" y="199062"/>
                <a:pt x="431885" y="166768"/>
              </a:cubicBezTo>
              <a:cubicBezTo>
                <a:pt x="415894" y="154331"/>
                <a:pt x="399173" y="142608"/>
                <a:pt x="384848" y="128283"/>
              </a:cubicBezTo>
              <a:cubicBezTo>
                <a:pt x="381188" y="124623"/>
                <a:pt x="366172" y="107929"/>
                <a:pt x="359192" y="106903"/>
              </a:cubicBezTo>
              <a:cubicBezTo>
                <a:pt x="315272" y="100444"/>
                <a:pt x="270580" y="100352"/>
                <a:pt x="226633" y="94074"/>
              </a:cubicBezTo>
              <a:lnTo>
                <a:pt x="196700" y="89798"/>
              </a:lnTo>
              <a:cubicBezTo>
                <a:pt x="183872" y="85522"/>
                <a:pt x="169466" y="84471"/>
                <a:pt x="158215" y="76970"/>
              </a:cubicBezTo>
              <a:cubicBezTo>
                <a:pt x="153939" y="74119"/>
                <a:pt x="150456" y="69263"/>
                <a:pt x="145387" y="68418"/>
              </a:cubicBezTo>
              <a:cubicBezTo>
                <a:pt x="124251" y="64895"/>
                <a:pt x="102626" y="65567"/>
                <a:pt x="81246" y="64142"/>
              </a:cubicBezTo>
              <a:cubicBezTo>
                <a:pt x="79821" y="58440"/>
                <a:pt x="82767" y="48003"/>
                <a:pt x="76970" y="47037"/>
              </a:cubicBezTo>
              <a:cubicBezTo>
                <a:pt x="68772" y="45671"/>
                <a:pt x="63184" y="56490"/>
                <a:pt x="55589" y="59866"/>
              </a:cubicBezTo>
              <a:cubicBezTo>
                <a:pt x="50219" y="62253"/>
                <a:pt x="44060" y="62284"/>
                <a:pt x="38485" y="64142"/>
              </a:cubicBezTo>
              <a:cubicBezTo>
                <a:pt x="31203" y="66569"/>
                <a:pt x="24231" y="69843"/>
                <a:pt x="17104" y="72694"/>
              </a:cubicBezTo>
              <a:cubicBezTo>
                <a:pt x="12828" y="76970"/>
                <a:pt x="1572" y="80113"/>
                <a:pt x="4276" y="85522"/>
              </a:cubicBezTo>
              <a:cubicBezTo>
                <a:pt x="6904" y="90778"/>
                <a:pt x="15978" y="83561"/>
                <a:pt x="21380" y="81246"/>
              </a:cubicBezTo>
              <a:cubicBezTo>
                <a:pt x="26104" y="79222"/>
                <a:pt x="29747" y="75244"/>
                <a:pt x="34209" y="72694"/>
              </a:cubicBezTo>
              <a:cubicBezTo>
                <a:pt x="39743" y="69532"/>
                <a:pt x="45395" y="66509"/>
                <a:pt x="51313" y="64142"/>
              </a:cubicBezTo>
              <a:cubicBezTo>
                <a:pt x="83149" y="51408"/>
                <a:pt x="83285" y="55016"/>
                <a:pt x="124007" y="51313"/>
              </a:cubicBezTo>
              <a:lnTo>
                <a:pt x="149663" y="55590"/>
              </a:lnTo>
              <a:cubicBezTo>
                <a:pt x="150902" y="59306"/>
                <a:pt x="114233" y="67654"/>
                <a:pt x="111178" y="68418"/>
              </a:cubicBezTo>
              <a:cubicBezTo>
                <a:pt x="92648" y="84097"/>
                <a:pt x="75007" y="100891"/>
                <a:pt x="55589" y="115455"/>
              </a:cubicBezTo>
              <a:cubicBezTo>
                <a:pt x="17032" y="144373"/>
                <a:pt x="45060" y="122857"/>
                <a:pt x="51313" y="119731"/>
              </a:cubicBezTo>
              <a:cubicBezTo>
                <a:pt x="55344" y="117715"/>
                <a:pt x="60063" y="117374"/>
                <a:pt x="64141" y="115455"/>
              </a:cubicBezTo>
              <a:cubicBezTo>
                <a:pt x="84328" y="105955"/>
                <a:pt x="104735" y="96764"/>
                <a:pt x="124007" y="85522"/>
              </a:cubicBezTo>
              <a:cubicBezTo>
                <a:pt x="179213" y="53319"/>
                <a:pt x="156535" y="61853"/>
                <a:pt x="188148" y="51313"/>
              </a:cubicBezTo>
              <a:cubicBezTo>
                <a:pt x="182447" y="55589"/>
                <a:pt x="177088" y="60365"/>
                <a:pt x="171044" y="64142"/>
              </a:cubicBezTo>
              <a:cubicBezTo>
                <a:pt x="152916" y="75472"/>
                <a:pt x="152823" y="71114"/>
                <a:pt x="132559" y="81246"/>
              </a:cubicBezTo>
              <a:cubicBezTo>
                <a:pt x="127962" y="83544"/>
                <a:pt x="124006" y="86947"/>
                <a:pt x="119730" y="89798"/>
              </a:cubicBezTo>
              <a:cubicBezTo>
                <a:pt x="122581" y="79821"/>
                <a:pt x="123054" y="68829"/>
                <a:pt x="128283" y="59866"/>
              </a:cubicBezTo>
              <a:cubicBezTo>
                <a:pt x="133362" y="51160"/>
                <a:pt x="141969" y="44995"/>
                <a:pt x="149663" y="38485"/>
              </a:cubicBezTo>
              <a:cubicBezTo>
                <a:pt x="167441" y="23442"/>
                <a:pt x="179420" y="15798"/>
                <a:pt x="196700" y="4276"/>
              </a:cubicBezTo>
              <a:cubicBezTo>
                <a:pt x="203827" y="5702"/>
                <a:pt x="215783" y="1658"/>
                <a:pt x="218081" y="8553"/>
              </a:cubicBezTo>
              <a:cubicBezTo>
                <a:pt x="220097" y="14601"/>
                <a:pt x="207023" y="15089"/>
                <a:pt x="200976" y="17105"/>
              </a:cubicBezTo>
              <a:cubicBezTo>
                <a:pt x="189826" y="20822"/>
                <a:pt x="178171" y="22806"/>
                <a:pt x="166768" y="25657"/>
              </a:cubicBezTo>
              <a:cubicBezTo>
                <a:pt x="148969" y="37523"/>
                <a:pt x="135416" y="45487"/>
                <a:pt x="119730" y="59866"/>
              </a:cubicBezTo>
              <a:cubicBezTo>
                <a:pt x="109329" y="69401"/>
                <a:pt x="76412" y="94260"/>
                <a:pt x="89798" y="89798"/>
              </a:cubicBezTo>
              <a:lnTo>
                <a:pt x="115454" y="81246"/>
              </a:lnTo>
              <a:cubicBezTo>
                <a:pt x="134539" y="66933"/>
                <a:pt x="130422" y="67705"/>
                <a:pt x="153939" y="59866"/>
              </a:cubicBezTo>
              <a:cubicBezTo>
                <a:pt x="171808" y="53910"/>
                <a:pt x="167297" y="51843"/>
                <a:pt x="175320" y="5986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161024</xdr:colOff>
      <xdr:row>201</xdr:row>
      <xdr:rowOff>173908</xdr:rowOff>
    </xdr:from>
    <xdr:ext cx="2180948" cy="346762"/>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50E2868-B7A2-DA14-0C52-747AF0448138}"/>
                </a:ext>
              </a:extLst>
            </xdr:cNvPr>
            <xdr:cNvSpPr txBox="1"/>
          </xdr:nvSpPr>
          <xdr:spPr>
            <a:xfrm>
              <a:off x="13507871164" y="40874831"/>
              <a:ext cx="218094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4</m:t>
                        </m:r>
                        <m:r>
                          <a:rPr lang="en-US" sz="1100" b="0" i="1">
                            <a:latin typeface="Cambria Math" panose="02040503050406030204" pitchFamily="18" charset="0"/>
                          </a:rPr>
                          <m:t>𝑦𝑒𝑎𝑟𝑠</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𝐿𝐴𝑆𝑇</m:t>
                            </m:r>
                          </m:sub>
                        </m:sSub>
                      </m:num>
                      <m:den>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𝐵𝐴𝑆𝐸</m:t>
                            </m:r>
                          </m:sub>
                        </m:sSub>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173</m:t>
                        </m:r>
                      </m:num>
                      <m:den>
                        <m:r>
                          <a:rPr lang="en-US" sz="1100" b="0" i="1">
                            <a:latin typeface="Cambria Math" panose="02040503050406030204" pitchFamily="18" charset="0"/>
                          </a:rPr>
                          <m:t>130</m:t>
                        </m:r>
                      </m:den>
                    </m:f>
                    <m:r>
                      <a:rPr lang="en-US" sz="1100" b="0" i="1">
                        <a:latin typeface="Cambria Math" panose="02040503050406030204" pitchFamily="18" charset="0"/>
                      </a:rPr>
                      <m:t>−1=</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50E2868-B7A2-DA14-0C52-747AF0448138}"/>
                </a:ext>
              </a:extLst>
            </xdr:cNvPr>
            <xdr:cNvSpPr txBox="1"/>
          </xdr:nvSpPr>
          <xdr:spPr>
            <a:xfrm>
              <a:off x="13507871164" y="40874831"/>
              <a:ext cx="218094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𝑔_4𝑦𝑒𝑎𝑟𝑠=</a:t>
              </a:r>
              <a:r>
                <a:rPr lang="he-IL" sz="1100" b="0" i="0">
                  <a:latin typeface="Cambria Math" panose="02040503050406030204" pitchFamily="18" charset="0"/>
                </a:rPr>
                <a:t>(</a:t>
              </a:r>
              <a:r>
                <a:rPr lang="en-US" sz="1100" b="0" i="0">
                  <a:latin typeface="Cambria Math" panose="02040503050406030204" pitchFamily="18" charset="0"/>
                </a:rPr>
                <a:t>𝐸𝑃𝑆_𝐿𝐴𝑆𝑇</a:t>
              </a:r>
              <a:r>
                <a:rPr lang="he-IL" sz="1100" b="0" i="0">
                  <a:latin typeface="Cambria Math" panose="02040503050406030204" pitchFamily="18" charset="0"/>
                </a:rPr>
                <a:t>)/(</a:t>
              </a:r>
              <a:r>
                <a:rPr lang="en-US" sz="1100" b="0" i="0">
                  <a:latin typeface="Cambria Math" panose="02040503050406030204" pitchFamily="18" charset="0"/>
                </a:rPr>
                <a:t>𝐸𝑃𝑆_𝐵𝐴𝑆𝐸</a:t>
              </a:r>
              <a:r>
                <a:rPr lang="he-IL" sz="1100" b="0" i="0">
                  <a:latin typeface="Cambria Math" panose="02040503050406030204" pitchFamily="18" charset="0"/>
                </a:rPr>
                <a:t> )</a:t>
              </a:r>
              <a:r>
                <a:rPr lang="en-US" sz="1100" b="0" i="0">
                  <a:latin typeface="Cambria Math" panose="02040503050406030204" pitchFamily="18" charset="0"/>
                </a:rPr>
                <a:t>−1=173/130−1=</a:t>
              </a:r>
              <a:endParaRPr lang="en-US" sz="1100"/>
            </a:p>
          </xdr:txBody>
        </xdr:sp>
      </mc:Fallback>
    </mc:AlternateContent>
    <xdr:clientData/>
  </xdr:oneCellAnchor>
  <xdr:oneCellAnchor>
    <xdr:from>
      <xdr:col>3</xdr:col>
      <xdr:colOff>609224</xdr:colOff>
      <xdr:row>203</xdr:row>
      <xdr:rowOff>128450</xdr:rowOff>
    </xdr:from>
    <xdr:ext cx="3757376" cy="287964"/>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291C7AE7-43DE-A0E9-562D-594D64379CD4}"/>
                </a:ext>
              </a:extLst>
            </xdr:cNvPr>
            <xdr:cNvSpPr txBox="1"/>
          </xdr:nvSpPr>
          <xdr:spPr>
            <a:xfrm>
              <a:off x="13506671333" y="41232398"/>
              <a:ext cx="3757376"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𝑎𝑛𝑛𝑢𝑎𝑙</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𝑔</m:t>
                                </m:r>
                              </m:e>
                              <m:sub>
                                <m:r>
                                  <a:rPr lang="en-US" sz="1100" b="0" i="1">
                                    <a:latin typeface="Cambria Math" panose="02040503050406030204" pitchFamily="18" charset="0"/>
                                  </a:rPr>
                                  <m:t>4</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1+33.08%</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291C7AE7-43DE-A0E9-562D-594D64379CD4}"/>
                </a:ext>
              </a:extLst>
            </xdr:cNvPr>
            <xdr:cNvSpPr txBox="1"/>
          </xdr:nvSpPr>
          <xdr:spPr>
            <a:xfrm>
              <a:off x="13506671333" y="41232398"/>
              <a:ext cx="3757376"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𝑔_𝑎𝑛𝑛𝑢𝑎𝑙=(1+𝑔_4𝑦𝑒𝑎𝑟𝑠 )^(1/4)−1=(1+33.08%)^(1/4)−1=</a:t>
              </a:r>
              <a:endParaRPr lang="en-US" sz="1100"/>
            </a:p>
          </xdr:txBody>
        </xdr:sp>
      </mc:Fallback>
    </mc:AlternateContent>
    <xdr:clientData/>
  </xdr:oneCellAnchor>
  <xdr:oneCellAnchor>
    <xdr:from>
      <xdr:col>3</xdr:col>
      <xdr:colOff>740443</xdr:colOff>
      <xdr:row>206</xdr:row>
      <xdr:rowOff>13926</xdr:rowOff>
    </xdr:from>
    <xdr:ext cx="3794567"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E64169FC-A16C-8889-F813-4FC088B2A452}"/>
                </a:ext>
              </a:extLst>
            </xdr:cNvPr>
            <xdr:cNvSpPr txBox="1"/>
          </xdr:nvSpPr>
          <xdr:spPr>
            <a:xfrm>
              <a:off x="13506502923" y="41722413"/>
              <a:ext cx="37945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2024</m:t>
                        </m:r>
                      </m:sub>
                    </m:sSub>
                    <m:r>
                      <a:rPr lang="en-US" sz="1100" b="0" i="1">
                        <a:latin typeface="Cambria Math" panose="02040503050406030204" pitchFamily="18" charset="0"/>
                      </a:rPr>
                      <m:t>=</m:t>
                    </m:r>
                    <m:r>
                      <a:rPr lang="en-US" sz="1100" b="0" i="1">
                        <a:latin typeface="Cambria Math" panose="02040503050406030204" pitchFamily="18" charset="0"/>
                      </a:rPr>
                      <m:t>𝐸𝑃</m:t>
                    </m:r>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2024</m:t>
                        </m:r>
                      </m:sub>
                    </m:sSub>
                    <m:r>
                      <a:rPr lang="en-US" sz="1100" b="0" i="1">
                        <a:latin typeface="Cambria Math" panose="02040503050406030204" pitchFamily="18" charset="0"/>
                      </a:rPr>
                      <m:t>∗60%=173∗</m:t>
                    </m:r>
                    <m:d>
                      <m:dPr>
                        <m:ctrlPr>
                          <a:rPr lang="en-US" sz="1100" b="0" i="1">
                            <a:latin typeface="Cambria Math" panose="02040503050406030204" pitchFamily="18" charset="0"/>
                          </a:rPr>
                        </m:ctrlPr>
                      </m:dPr>
                      <m:e>
                        <m:r>
                          <a:rPr lang="en-US" sz="1100" b="0" i="1">
                            <a:latin typeface="Cambria Math" panose="02040503050406030204" pitchFamily="18" charset="0"/>
                          </a:rPr>
                          <m:t>1+7.41%</m:t>
                        </m:r>
                      </m:e>
                    </m:d>
                    <m:r>
                      <a:rPr lang="en-US" sz="1100" b="0" i="1">
                        <a:latin typeface="Cambria Math" panose="02040503050406030204" pitchFamily="18" charset="0"/>
                      </a:rPr>
                      <m:t>∗60%=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E64169FC-A16C-8889-F813-4FC088B2A452}"/>
                </a:ext>
              </a:extLst>
            </xdr:cNvPr>
            <xdr:cNvSpPr txBox="1"/>
          </xdr:nvSpPr>
          <xdr:spPr>
            <a:xfrm>
              <a:off x="13506502923" y="41722413"/>
              <a:ext cx="37945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𝐷𝑖𝑣_2024=𝐸𝑃𝑆_2024∗60%=173∗(1+7.41%)∗60%=</a:t>
              </a:r>
              <a:endParaRPr lang="en-US" sz="1100"/>
            </a:p>
          </xdr:txBody>
        </xdr:sp>
      </mc:Fallback>
    </mc:AlternateContent>
    <xdr:clientData/>
  </xdr:oneCellAnchor>
  <xdr:oneCellAnchor>
    <xdr:from>
      <xdr:col>3</xdr:col>
      <xdr:colOff>520183</xdr:colOff>
      <xdr:row>208</xdr:row>
      <xdr:rowOff>129509</xdr:rowOff>
    </xdr:from>
    <xdr:ext cx="4528272" cy="347659"/>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B5761882-82EA-6EEA-761F-BD5D1FE4992D}"/>
                </a:ext>
              </a:extLst>
            </xdr:cNvPr>
            <xdr:cNvSpPr txBox="1"/>
          </xdr:nvSpPr>
          <xdr:spPr>
            <a:xfrm>
              <a:off x="13505989478" y="42241022"/>
              <a:ext cx="4528272"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𝐺𝑟𝑜𝑤𝑡h</m:t>
                    </m:r>
                    <m:d>
                      <m:dPr>
                        <m:ctrlPr>
                          <a:rPr lang="en-US" sz="1100" b="0" i="1">
                            <a:latin typeface="Cambria Math" panose="02040503050406030204" pitchFamily="18" charset="0"/>
                          </a:rPr>
                        </m:ctrlPr>
                      </m:dPr>
                      <m:e>
                        <m:r>
                          <a:rPr lang="en-US" sz="1100" b="0" i="1">
                            <a:latin typeface="Cambria Math" panose="02040503050406030204" pitchFamily="18" charset="0"/>
                          </a:rPr>
                          <m:t>31.12.2023</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m:t>
                        </m:r>
                        <m:sSub>
                          <m:sSubPr>
                            <m:ctrlPr>
                              <a:rPr lang="en-US" sz="1100" b="0" i="1">
                                <a:latin typeface="Cambria Math" panose="02040503050406030204" pitchFamily="18" charset="0"/>
                              </a:rPr>
                            </m:ctrlPr>
                          </m:sSubPr>
                          <m:e>
                            <m:r>
                              <a:rPr lang="en-US" sz="1100" b="0" i="1">
                                <a:latin typeface="Cambria Math" panose="02040503050406030204" pitchFamily="18" charset="0"/>
                              </a:rPr>
                              <m:t>𝑣</m:t>
                            </m:r>
                          </m:e>
                          <m:sub>
                            <m:r>
                              <a:rPr lang="en-US" sz="1100" b="0" i="1">
                                <a:latin typeface="Cambria Math" panose="02040503050406030204" pitchFamily="18" charset="0"/>
                              </a:rPr>
                              <m:t>2024</m:t>
                            </m:r>
                          </m:sub>
                        </m:sSub>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111.49</m:t>
                        </m:r>
                      </m:num>
                      <m:den>
                        <m:r>
                          <a:rPr lang="he-IL" sz="1100" b="0" i="1">
                            <a:latin typeface="Cambria Math" panose="02040503050406030204" pitchFamily="18" charset="0"/>
                          </a:rPr>
                          <m:t>20%−7.41%</m:t>
                        </m:r>
                      </m:den>
                    </m:f>
                    <m:r>
                      <a:rPr lang="he-IL"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B5761882-82EA-6EEA-761F-BD5D1FE4992D}"/>
                </a:ext>
              </a:extLst>
            </xdr:cNvPr>
            <xdr:cNvSpPr txBox="1"/>
          </xdr:nvSpPr>
          <xdr:spPr>
            <a:xfrm>
              <a:off x="13505989478" y="42241022"/>
              <a:ext cx="4528272"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𝐺𝑟𝑜𝑤𝑡ℎ(31.12.2023)=(𝐷𝑖𝑣_2024)/(𝑟−𝑔)=</a:t>
              </a:r>
              <a:r>
                <a:rPr lang="he-IL" sz="1100" b="0" i="0">
                  <a:latin typeface="Cambria Math" panose="02040503050406030204" pitchFamily="18" charset="0"/>
                </a:rPr>
                <a:t>111.49/(20%−7.41%)=</a:t>
              </a:r>
              <a:endParaRPr lang="en-US" sz="1100"/>
            </a:p>
          </xdr:txBody>
        </xdr:sp>
      </mc:Fallback>
    </mc:AlternateContent>
    <xdr:clientData/>
  </xdr:oneCellAnchor>
  <xdr:oneCellAnchor>
    <xdr:from>
      <xdr:col>3</xdr:col>
      <xdr:colOff>702951</xdr:colOff>
      <xdr:row>211</xdr:row>
      <xdr:rowOff>14748</xdr:rowOff>
    </xdr:from>
    <xdr:ext cx="3976862" cy="324641"/>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6761E7B3-F250-EF60-F6F3-C6FED4FCAB3C}"/>
                </a:ext>
              </a:extLst>
            </xdr:cNvPr>
            <xdr:cNvSpPr txBox="1"/>
          </xdr:nvSpPr>
          <xdr:spPr>
            <a:xfrm>
              <a:off x="13506358120" y="42730800"/>
              <a:ext cx="3976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𝑁𝑜𝐺𝑟𝑜𝑤𝑡h</m:t>
                    </m:r>
                    <m:d>
                      <m:dPr>
                        <m:ctrlPr>
                          <a:rPr lang="en-US" sz="1100" b="0" i="1">
                            <a:latin typeface="Cambria Math" panose="02040503050406030204" pitchFamily="18" charset="0"/>
                          </a:rPr>
                        </m:ctrlPr>
                      </m:dPr>
                      <m:e>
                        <m:r>
                          <a:rPr lang="en-US" sz="1100" b="0" i="1">
                            <a:latin typeface="Cambria Math" panose="02040503050406030204" pitchFamily="18" charset="0"/>
                          </a:rPr>
                          <m:t>31.12.2023</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𝐸𝑃𝑆</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173</m:t>
                        </m:r>
                      </m:num>
                      <m:den>
                        <m:r>
                          <a:rPr lang="he-IL" sz="1100" b="0" i="1">
                            <a:latin typeface="Cambria Math" panose="02040503050406030204" pitchFamily="18" charset="0"/>
                          </a:rPr>
                          <m:t>20%</m:t>
                        </m:r>
                      </m:den>
                    </m:f>
                    <m:r>
                      <a:rPr lang="he-IL" sz="1100" b="0" i="1">
                        <a:latin typeface="Cambria Math" panose="02040503050406030204" pitchFamily="18" charset="0"/>
                      </a:rPr>
                      <m:t>=</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6761E7B3-F250-EF60-F6F3-C6FED4FCAB3C}"/>
                </a:ext>
              </a:extLst>
            </xdr:cNvPr>
            <xdr:cNvSpPr txBox="1"/>
          </xdr:nvSpPr>
          <xdr:spPr>
            <a:xfrm>
              <a:off x="13506358120" y="42730800"/>
              <a:ext cx="3976862"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 𝑁𝑜𝐺𝑟𝑜𝑤𝑡ℎ(31.12.2023)=𝐸𝑃𝑆/𝑟=</a:t>
              </a:r>
              <a:r>
                <a:rPr lang="he-IL" sz="1100" b="0" i="0">
                  <a:latin typeface="Cambria Math" panose="02040503050406030204" pitchFamily="18" charset="0"/>
                </a:rPr>
                <a:t>173/(20%)=</a:t>
              </a:r>
              <a:endParaRPr lang="en-US" sz="1100"/>
            </a:p>
          </xdr:txBody>
        </xdr:sp>
      </mc:Fallback>
    </mc:AlternateContent>
    <xdr:clientData/>
  </xdr:oneCellAnchor>
  <xdr:oneCellAnchor>
    <xdr:from>
      <xdr:col>3</xdr:col>
      <xdr:colOff>796677</xdr:colOff>
      <xdr:row>214</xdr:row>
      <xdr:rowOff>43101</xdr:rowOff>
    </xdr:from>
    <xdr:ext cx="4607327"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6638EF1C-720C-E15E-D861-19BA50120FA4}"/>
                </a:ext>
              </a:extLst>
            </xdr:cNvPr>
            <xdr:cNvSpPr txBox="1"/>
          </xdr:nvSpPr>
          <xdr:spPr>
            <a:xfrm>
              <a:off x="13505633929" y="43363691"/>
              <a:ext cx="4607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𝑃𝑉𝐺𝑂</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𝐺𝑟𝑜𝑤𝑡h</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𝑁𝑜𝐺𝑟𝑜𝑤𝑡h</m:t>
                    </m:r>
                    <m:r>
                      <a:rPr lang="en-US" sz="1100" b="0" i="1">
                        <a:latin typeface="Cambria Math" panose="02040503050406030204" pitchFamily="18" charset="0"/>
                      </a:rPr>
                      <m:t>=885.19−865=</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6638EF1C-720C-E15E-D861-19BA50120FA4}"/>
                </a:ext>
              </a:extLst>
            </xdr:cNvPr>
            <xdr:cNvSpPr txBox="1"/>
          </xdr:nvSpPr>
          <xdr:spPr>
            <a:xfrm>
              <a:off x="13505633929" y="43363691"/>
              <a:ext cx="46073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𝑃𝑉𝐺𝑂=𝑃_𝑆 𝐺𝑟𝑜𝑤𝑡ℎ−𝑃_𝑆 𝑁𝑜𝐺𝑟𝑜𝑤𝑡ℎ=</a:t>
              </a:r>
              <a:r>
                <a:rPr lang="he-IL" sz="1100" b="0" i="0">
                  <a:latin typeface="Cambria Math" panose="02040503050406030204" pitchFamily="18" charset="0"/>
                </a:rPr>
                <a:t>885.19−865=</a:t>
              </a:r>
              <a:endParaRPr lang="en-US" sz="1100"/>
            </a:p>
          </xdr:txBody>
        </xdr:sp>
      </mc:Fallback>
    </mc:AlternateContent>
    <xdr:clientData/>
  </xdr:oneCellAnchor>
  <xdr:twoCellAnchor>
    <xdr:from>
      <xdr:col>0</xdr:col>
      <xdr:colOff>643698</xdr:colOff>
      <xdr:row>280</xdr:row>
      <xdr:rowOff>3479</xdr:rowOff>
    </xdr:from>
    <xdr:to>
      <xdr:col>1</xdr:col>
      <xdr:colOff>10438</xdr:colOff>
      <xdr:row>286</xdr:row>
      <xdr:rowOff>34795</xdr:rowOff>
    </xdr:to>
    <xdr:sp macro="" textlink="">
      <xdr:nvSpPr>
        <xdr:cNvPr id="112" name="Right Brace 111">
          <a:extLst>
            <a:ext uri="{FF2B5EF4-FFF2-40B4-BE49-F238E27FC236}">
              <a16:creationId xmlns:a16="http://schemas.microsoft.com/office/drawing/2014/main" id="{0807E601-AB59-9832-EB28-E8B41D480003}"/>
            </a:ext>
          </a:extLst>
        </xdr:cNvPr>
        <xdr:cNvSpPr/>
      </xdr:nvSpPr>
      <xdr:spPr>
        <a:xfrm>
          <a:off x="13509981644" y="55319808"/>
          <a:ext cx="191370" cy="1242165"/>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353162</xdr:colOff>
      <xdr:row>280</xdr:row>
      <xdr:rowOff>78287</xdr:rowOff>
    </xdr:from>
    <xdr:to>
      <xdr:col>0</xdr:col>
      <xdr:colOff>551490</xdr:colOff>
      <xdr:row>285</xdr:row>
      <xdr:rowOff>92205</xdr:rowOff>
    </xdr:to>
    <xdr:sp macro="" textlink="">
      <xdr:nvSpPr>
        <xdr:cNvPr id="113" name="Rectangle 112">
          <a:extLst>
            <a:ext uri="{FF2B5EF4-FFF2-40B4-BE49-F238E27FC236}">
              <a16:creationId xmlns:a16="http://schemas.microsoft.com/office/drawing/2014/main" id="{CB1E31D9-157E-9F80-4AFE-112DAA4FCDE9}"/>
            </a:ext>
          </a:extLst>
        </xdr:cNvPr>
        <xdr:cNvSpPr/>
      </xdr:nvSpPr>
      <xdr:spPr>
        <a:xfrm rot="16200000">
          <a:off x="13509852906" y="55806932"/>
          <a:ext cx="1022959" cy="19832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צמיחה בשיעור 40%</a:t>
          </a:r>
          <a:endParaRPr lang="en-US" sz="800"/>
        </a:p>
      </xdr:txBody>
    </xdr:sp>
    <xdr:clientData/>
  </xdr:twoCellAnchor>
  <xdr:twoCellAnchor>
    <xdr:from>
      <xdr:col>1</xdr:col>
      <xdr:colOff>340986</xdr:colOff>
      <xdr:row>286</xdr:row>
      <xdr:rowOff>59150</xdr:rowOff>
    </xdr:from>
    <xdr:to>
      <xdr:col>1</xdr:col>
      <xdr:colOff>414055</xdr:colOff>
      <xdr:row>288</xdr:row>
      <xdr:rowOff>170493</xdr:rowOff>
    </xdr:to>
    <xdr:sp macro="" textlink="">
      <xdr:nvSpPr>
        <xdr:cNvPr id="114" name="Down Arrow 113">
          <a:extLst>
            <a:ext uri="{FF2B5EF4-FFF2-40B4-BE49-F238E27FC236}">
              <a16:creationId xmlns:a16="http://schemas.microsoft.com/office/drawing/2014/main" id="{EA777611-248C-A4AE-9AA6-382B79D537E7}"/>
            </a:ext>
          </a:extLst>
        </xdr:cNvPr>
        <xdr:cNvSpPr/>
      </xdr:nvSpPr>
      <xdr:spPr>
        <a:xfrm>
          <a:off x="13509578027" y="56614164"/>
          <a:ext cx="73069" cy="5149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19133</xdr:colOff>
      <xdr:row>286</xdr:row>
      <xdr:rowOff>26096</xdr:rowOff>
    </xdr:from>
    <xdr:to>
      <xdr:col>1</xdr:col>
      <xdr:colOff>217461</xdr:colOff>
      <xdr:row>291</xdr:row>
      <xdr:rowOff>13917</xdr:rowOff>
    </xdr:to>
    <xdr:sp macro="" textlink="">
      <xdr:nvSpPr>
        <xdr:cNvPr id="115" name="Rectangle 114">
          <a:extLst>
            <a:ext uri="{FF2B5EF4-FFF2-40B4-BE49-F238E27FC236}">
              <a16:creationId xmlns:a16="http://schemas.microsoft.com/office/drawing/2014/main" id="{CB883AEF-8B1A-D779-F8FC-C298AABCAB9D}"/>
            </a:ext>
          </a:extLst>
        </xdr:cNvPr>
        <xdr:cNvSpPr/>
      </xdr:nvSpPr>
      <xdr:spPr>
        <a:xfrm rot="16200000">
          <a:off x="13509375354" y="56980377"/>
          <a:ext cx="996862" cy="19832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צמיחה בשיעור 5% לעד</a:t>
          </a:r>
          <a:endParaRPr lang="en-US" sz="700"/>
        </a:p>
      </xdr:txBody>
    </xdr:sp>
    <xdr:clientData/>
  </xdr:twoCellAnchor>
  <xdr:twoCellAnchor editAs="oneCell">
    <xdr:from>
      <xdr:col>4</xdr:col>
      <xdr:colOff>247041</xdr:colOff>
      <xdr:row>277</xdr:row>
      <xdr:rowOff>125260</xdr:rowOff>
    </xdr:from>
    <xdr:to>
      <xdr:col>5</xdr:col>
      <xdr:colOff>591506</xdr:colOff>
      <xdr:row>285</xdr:row>
      <xdr:rowOff>211549</xdr:rowOff>
    </xdr:to>
    <xdr:pic>
      <xdr:nvPicPr>
        <xdr:cNvPr id="116" name="Picture 115">
          <a:extLst>
            <a:ext uri="{FF2B5EF4-FFF2-40B4-BE49-F238E27FC236}">
              <a16:creationId xmlns:a16="http://schemas.microsoft.com/office/drawing/2014/main" id="{E0256F94-4909-C955-1B9E-6FB803F3DA96}"/>
            </a:ext>
          </a:extLst>
        </xdr:cNvPr>
        <xdr:cNvPicPr>
          <a:picLocks noChangeAspect="1"/>
        </xdr:cNvPicPr>
      </xdr:nvPicPr>
      <xdr:blipFill>
        <a:blip xmlns:r="http://schemas.openxmlformats.org/officeDocument/2006/relationships" r:embed="rId6"/>
        <a:stretch>
          <a:fillRect/>
        </a:stretch>
      </xdr:blipFill>
      <xdr:spPr>
        <a:xfrm>
          <a:off x="13506063781" y="54836164"/>
          <a:ext cx="1169095" cy="1714673"/>
        </a:xfrm>
        <a:prstGeom prst="rect">
          <a:avLst/>
        </a:prstGeom>
      </xdr:spPr>
    </xdr:pic>
    <xdr:clientData/>
  </xdr:twoCellAnchor>
  <xdr:twoCellAnchor>
    <xdr:from>
      <xdr:col>5</xdr:col>
      <xdr:colOff>577588</xdr:colOff>
      <xdr:row>277</xdr:row>
      <xdr:rowOff>90466</xdr:rowOff>
    </xdr:from>
    <xdr:to>
      <xdr:col>9</xdr:col>
      <xdr:colOff>410574</xdr:colOff>
      <xdr:row>287</xdr:row>
      <xdr:rowOff>180931</xdr:rowOff>
    </xdr:to>
    <xdr:sp macro="" textlink="">
      <xdr:nvSpPr>
        <xdr:cNvPr id="117" name="Rectangular Callout 116">
          <a:extLst>
            <a:ext uri="{FF2B5EF4-FFF2-40B4-BE49-F238E27FC236}">
              <a16:creationId xmlns:a16="http://schemas.microsoft.com/office/drawing/2014/main" id="{29DD4A00-B5E6-94A3-F5E6-9595F7A35DBD}"/>
            </a:ext>
          </a:extLst>
        </xdr:cNvPr>
        <xdr:cNvSpPr/>
      </xdr:nvSpPr>
      <xdr:spPr>
        <a:xfrm>
          <a:off x="13502907919" y="54801370"/>
          <a:ext cx="3169780" cy="2136383"/>
        </a:xfrm>
        <a:prstGeom prst="wedgeRectCallout">
          <a:avLst>
            <a:gd name="adj1" fmla="val 62122"/>
            <a:gd name="adj2" fmla="val -423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ההסבר של יגאל:</a:t>
          </a:r>
        </a:p>
        <a:p>
          <a:pPr algn="r" rtl="1"/>
          <a:r>
            <a:rPr lang="he-IL" sz="1100"/>
            <a:t>בשלב הראשון, רשמנו את כל הדיבידנדים שצומחים ב-40%. </a:t>
          </a:r>
        </a:p>
        <a:p>
          <a:pPr algn="r" rtl="1"/>
          <a:r>
            <a:rPr lang="he-IL" sz="1100"/>
            <a:t>בשלב השני, עצרנו בדיבידנד שאחריו הצמיחה מתקבעת, כלומר ב-2028</a:t>
          </a:r>
        </a:p>
        <a:p>
          <a:pPr algn="r" rtl="1"/>
          <a:r>
            <a:rPr lang="he-IL" sz="1100"/>
            <a:t>בשלב השלישי, הפעלנו את נוסחת גורדון (נוסחת דיבידנד צומח לאינסוף) על הדיבידנד של 2028. כך קיבלנו את ערכו הכולל יחד עם כל התזרימים העתידיים לשנת</a:t>
          </a:r>
          <a:r>
            <a:rPr lang="he-IL" sz="1100" baseline="0"/>
            <a:t> 2027</a:t>
          </a:r>
        </a:p>
        <a:p>
          <a:pPr algn="r" rtl="1"/>
          <a:r>
            <a:rPr lang="he-IL" sz="1100" baseline="0"/>
            <a:t>בשלב הרביעי חיברנו את הדיבידנדים יחד עם ההשפעה הכוללת של 2028</a:t>
          </a:r>
        </a:p>
        <a:p>
          <a:pPr algn="r" rtl="1"/>
          <a:r>
            <a:rPr lang="he-IL" sz="1100" baseline="0"/>
            <a:t>הפעלנו </a:t>
          </a:r>
          <a:r>
            <a:rPr lang="en-US" sz="1100" baseline="0"/>
            <a:t>NPV</a:t>
          </a:r>
          <a:r>
            <a:rPr lang="he-IL" sz="1100" baseline="0"/>
            <a:t> על הכל וכך חישבנו את מחיר המניה. </a:t>
          </a:r>
          <a:endParaRPr lang="he-IL" sz="1100"/>
        </a:p>
        <a:p>
          <a:pPr algn="r" rtl="1"/>
          <a:endParaRPr lang="en-US" sz="1100"/>
        </a:p>
      </xdr:txBody>
    </xdr:sp>
    <xdr:clientData/>
  </xdr:twoCellAnchor>
  <xdr:twoCellAnchor>
    <xdr:from>
      <xdr:col>4</xdr:col>
      <xdr:colOff>744602</xdr:colOff>
      <xdr:row>281</xdr:row>
      <xdr:rowOff>38274</xdr:rowOff>
    </xdr:from>
    <xdr:to>
      <xdr:col>4</xdr:col>
      <xdr:colOff>803753</xdr:colOff>
      <xdr:row>281</xdr:row>
      <xdr:rowOff>142658</xdr:rowOff>
    </xdr:to>
    <xdr:sp macro="" textlink="">
      <xdr:nvSpPr>
        <xdr:cNvPr id="118" name="Oval 117">
          <a:extLst>
            <a:ext uri="{FF2B5EF4-FFF2-40B4-BE49-F238E27FC236}">
              <a16:creationId xmlns:a16="http://schemas.microsoft.com/office/drawing/2014/main" id="{4213A9CA-25B3-D5B3-83E4-1AA4D3C076C1}"/>
            </a:ext>
          </a:extLst>
        </xdr:cNvPr>
        <xdr:cNvSpPr/>
      </xdr:nvSpPr>
      <xdr:spPr>
        <a:xfrm>
          <a:off x="13506676164" y="55556411"/>
          <a:ext cx="59151" cy="10438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821150</xdr:colOff>
      <xdr:row>281</xdr:row>
      <xdr:rowOff>45233</xdr:rowOff>
    </xdr:from>
    <xdr:to>
      <xdr:col>5</xdr:col>
      <xdr:colOff>55671</xdr:colOff>
      <xdr:row>281</xdr:row>
      <xdr:rowOff>149617</xdr:rowOff>
    </xdr:to>
    <xdr:sp macro="" textlink="">
      <xdr:nvSpPr>
        <xdr:cNvPr id="119" name="Oval 118">
          <a:extLst>
            <a:ext uri="{FF2B5EF4-FFF2-40B4-BE49-F238E27FC236}">
              <a16:creationId xmlns:a16="http://schemas.microsoft.com/office/drawing/2014/main" id="{22A60D23-F397-CFB0-D689-1B1AC18CECBB}"/>
            </a:ext>
          </a:extLst>
        </xdr:cNvPr>
        <xdr:cNvSpPr/>
      </xdr:nvSpPr>
      <xdr:spPr>
        <a:xfrm>
          <a:off x="13506599616" y="55563370"/>
          <a:ext cx="59151" cy="10438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191543</xdr:colOff>
      <xdr:row>295</xdr:row>
      <xdr:rowOff>38996</xdr:rowOff>
    </xdr:from>
    <xdr:ext cx="5344242" cy="1618750"/>
    <xdr:pic>
      <xdr:nvPicPr>
        <xdr:cNvPr id="120" name="Picture 119">
          <a:extLst>
            <a:ext uri="{FF2B5EF4-FFF2-40B4-BE49-F238E27FC236}">
              <a16:creationId xmlns:a16="http://schemas.microsoft.com/office/drawing/2014/main" id="{E7AAC209-55E6-2941-BCA3-EB73BD68D4DA}"/>
            </a:ext>
          </a:extLst>
        </xdr:cNvPr>
        <xdr:cNvPicPr>
          <a:picLocks noChangeAspect="1"/>
        </xdr:cNvPicPr>
      </xdr:nvPicPr>
      <xdr:blipFill>
        <a:blip xmlns:r="http://schemas.openxmlformats.org/officeDocument/2006/relationships" r:embed="rId7"/>
        <a:stretch>
          <a:fillRect/>
        </a:stretch>
      </xdr:blipFill>
      <xdr:spPr>
        <a:xfrm>
          <a:off x="13505280927" y="58410284"/>
          <a:ext cx="5344242" cy="1618750"/>
        </a:xfrm>
        <a:prstGeom prst="rect">
          <a:avLst/>
        </a:prstGeom>
      </xdr:spPr>
    </xdr:pic>
    <xdr:clientData/>
  </xdr:oneCellAnchor>
  <xdr:oneCellAnchor>
    <xdr:from>
      <xdr:col>3</xdr:col>
      <xdr:colOff>333808</xdr:colOff>
      <xdr:row>316</xdr:row>
      <xdr:rowOff>8977</xdr:rowOff>
    </xdr:from>
    <xdr:ext cx="1947765" cy="346570"/>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695969B4-3318-814D-A470-2C9157EB0238}"/>
                </a:ext>
              </a:extLst>
            </xdr:cNvPr>
            <xdr:cNvSpPr txBox="1"/>
          </xdr:nvSpPr>
          <xdr:spPr>
            <a:xfrm>
              <a:off x="13520640327" y="6536777"/>
              <a:ext cx="1947765"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1" name="TextBox 120">
              <a:extLst>
                <a:ext uri="{FF2B5EF4-FFF2-40B4-BE49-F238E27FC236}">
                  <a16:creationId xmlns:a16="http://schemas.microsoft.com/office/drawing/2014/main" id="{695969B4-3318-814D-A470-2C9157EB0238}"/>
                </a:ext>
              </a:extLst>
            </xdr:cNvPr>
            <xdr:cNvSpPr txBox="1"/>
          </xdr:nvSpPr>
          <xdr:spPr>
            <a:xfrm>
              <a:off x="13520640327" y="6536777"/>
              <a:ext cx="1947765"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3</xdr:col>
      <xdr:colOff>609600</xdr:colOff>
      <xdr:row>794</xdr:row>
      <xdr:rowOff>9524</xdr:rowOff>
    </xdr:from>
    <xdr:ext cx="2971918" cy="320344"/>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F43078DD-388E-A041-A3A7-BBAD0004AD95}"/>
                </a:ext>
              </a:extLst>
            </xdr:cNvPr>
            <xdr:cNvSpPr txBox="1"/>
          </xdr:nvSpPr>
          <xdr:spPr>
            <a:xfrm>
              <a:off x="13519340382" y="28279724"/>
              <a:ext cx="29719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d>
                      <m:dPr>
                        <m:ctrlPr>
                          <a:rPr lang="en-US" sz="1100" b="0" i="1">
                            <a:latin typeface="Cambria Math" panose="02040503050406030204" pitchFamily="18" charset="0"/>
                          </a:rPr>
                        </m:ctrlPr>
                      </m:dPr>
                      <m:e>
                        <m:r>
                          <a:rPr lang="en-US" sz="1100" b="0" i="1">
                            <a:latin typeface="Cambria Math" panose="02040503050406030204" pitchFamily="18" charset="0"/>
                          </a:rPr>
                          <m:t>3</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13.8915</m:t>
                        </m:r>
                      </m:num>
                      <m:den>
                        <m:r>
                          <a:rPr lang="he-IL" sz="1100" b="0" i="1">
                            <a:latin typeface="Cambria Math" panose="02040503050406030204" pitchFamily="18" charset="0"/>
                          </a:rPr>
                          <m:t>12</m:t>
                        </m:r>
                      </m:den>
                    </m:f>
                    <m:r>
                      <a:rPr lang="he-IL" sz="1100" b="0" i="1">
                        <a:latin typeface="Cambria Math" panose="02040503050406030204" pitchFamily="18" charset="0"/>
                      </a:rPr>
                      <m:t>−1=15.7625%</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F43078DD-388E-A041-A3A7-BBAD0004AD95}"/>
                </a:ext>
              </a:extLst>
            </xdr:cNvPr>
            <xdr:cNvSpPr txBox="1"/>
          </xdr:nvSpPr>
          <xdr:spPr>
            <a:xfrm>
              <a:off x="13519340382" y="28279724"/>
              <a:ext cx="297191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𝑔(3𝑦𝑒𝑎𝑟𝑠)=</a:t>
              </a:r>
              <a:r>
                <a:rPr lang="he-IL" sz="1100" b="0" i="0">
                  <a:latin typeface="Cambria Math" panose="02040503050406030204" pitchFamily="18" charset="0"/>
                </a:rPr>
                <a:t>13.8915/12−1=15.7625%</a:t>
              </a:r>
              <a:endParaRPr lang="en-US" sz="1100"/>
            </a:p>
          </xdr:txBody>
        </xdr:sp>
      </mc:Fallback>
    </mc:AlternateContent>
    <xdr:clientData/>
  </xdr:oneCellAnchor>
  <xdr:oneCellAnchor>
    <xdr:from>
      <xdr:col>3</xdr:col>
      <xdr:colOff>501650</xdr:colOff>
      <xdr:row>798</xdr:row>
      <xdr:rowOff>34924</xdr:rowOff>
    </xdr:from>
    <xdr:ext cx="2971918" cy="252313"/>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67FA5369-E7E1-284D-A313-CC19E84D51E0}"/>
                </a:ext>
              </a:extLst>
            </xdr:cNvPr>
            <xdr:cNvSpPr txBox="1"/>
          </xdr:nvSpPr>
          <xdr:spPr>
            <a:xfrm>
              <a:off x="13519448332" y="29117924"/>
              <a:ext cx="2971918" cy="2523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𝑔</m:t>
                    </m:r>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1+15.7625%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sup>
                    </m:sSup>
                    <m:r>
                      <a:rPr lang="en-US" sz="1100" b="0" i="1">
                        <a:latin typeface="Cambria Math" panose="02040503050406030204" pitchFamily="18" charset="0"/>
                      </a:rPr>
                      <m:t>−1=5%</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67FA5369-E7E1-284D-A313-CC19E84D51E0}"/>
                </a:ext>
              </a:extLst>
            </xdr:cNvPr>
            <xdr:cNvSpPr txBox="1"/>
          </xdr:nvSpPr>
          <xdr:spPr>
            <a:xfrm>
              <a:off x="13519448332" y="29117924"/>
              <a:ext cx="2971918" cy="2523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𝑔(𝑎𝑛𝑛𝑢𝑎𝑙)=(1+15.7625%)^(1/3)−1=5%</a:t>
              </a:r>
              <a:endParaRPr lang="en-US" sz="1100"/>
            </a:p>
          </xdr:txBody>
        </xdr:sp>
      </mc:Fallback>
    </mc:AlternateContent>
    <xdr:clientData/>
  </xdr:oneCellAnchor>
  <xdr:oneCellAnchor>
    <xdr:from>
      <xdr:col>1</xdr:col>
      <xdr:colOff>819150</xdr:colOff>
      <xdr:row>803</xdr:row>
      <xdr:rowOff>130174</xdr:rowOff>
    </xdr:from>
    <xdr:ext cx="4870568" cy="172098"/>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8C9851F1-E693-EF4A-BA53-C5D6484DE23D}"/>
                </a:ext>
              </a:extLst>
            </xdr:cNvPr>
            <xdr:cNvSpPr txBox="1"/>
          </xdr:nvSpPr>
          <xdr:spPr>
            <a:xfrm>
              <a:off x="13518883182" y="30229174"/>
              <a:ext cx="48705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𝐷𝐼</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𝑔</m:t>
                        </m:r>
                      </m:e>
                    </m:d>
                    <m:r>
                      <a:rPr lang="en-US" sz="1100" b="0" i="1">
                        <a:latin typeface="Cambria Math" panose="02040503050406030204" pitchFamily="18" charset="0"/>
                      </a:rPr>
                      <m:t>=13.8915∗</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≈14.59</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8C9851F1-E693-EF4A-BA53-C5D6484DE23D}"/>
                </a:ext>
              </a:extLst>
            </xdr:cNvPr>
            <xdr:cNvSpPr txBox="1"/>
          </xdr:nvSpPr>
          <xdr:spPr>
            <a:xfrm>
              <a:off x="13518883182" y="30229174"/>
              <a:ext cx="48705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𝐷𝐼𝑉_1=𝐷𝐼𝑉_0∗(1+𝑔)=13.8915∗(1+5%)≈14.59</a:t>
              </a:r>
              <a:endParaRPr lang="en-US" sz="1100"/>
            </a:p>
          </xdr:txBody>
        </xdr:sp>
      </mc:Fallback>
    </mc:AlternateContent>
    <xdr:clientData/>
  </xdr:oneCellAnchor>
  <xdr:oneCellAnchor>
    <xdr:from>
      <xdr:col>3</xdr:col>
      <xdr:colOff>165100</xdr:colOff>
      <xdr:row>807</xdr:row>
      <xdr:rowOff>82550</xdr:rowOff>
    </xdr:from>
    <xdr:ext cx="4445000" cy="346570"/>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079F632B-93BE-F447-87EC-FBD51AE9815A}"/>
                </a:ext>
              </a:extLst>
            </xdr:cNvPr>
            <xdr:cNvSpPr txBox="1"/>
          </xdr:nvSpPr>
          <xdr:spPr>
            <a:xfrm>
              <a:off x="13518311800" y="309943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122" name="TextBox 121">
              <a:extLst>
                <a:ext uri="{FF2B5EF4-FFF2-40B4-BE49-F238E27FC236}">
                  <a16:creationId xmlns:a16="http://schemas.microsoft.com/office/drawing/2014/main" id="{079F632B-93BE-F447-87EC-FBD51AE9815A}"/>
                </a:ext>
              </a:extLst>
            </xdr:cNvPr>
            <xdr:cNvSpPr txBox="1"/>
          </xdr:nvSpPr>
          <xdr:spPr>
            <a:xfrm>
              <a:off x="13518311800" y="30994350"/>
              <a:ext cx="4445000" cy="3465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𝑃_𝑆=𝐷𝐼𝑉/(𝑟−𝑔)</a:t>
              </a:r>
              <a:endParaRPr lang="en-US" sz="1100"/>
            </a:p>
          </xdr:txBody>
        </xdr:sp>
      </mc:Fallback>
    </mc:AlternateContent>
    <xdr:clientData/>
  </xdr:oneCellAnchor>
  <xdr:oneCellAnchor>
    <xdr:from>
      <xdr:col>2</xdr:col>
      <xdr:colOff>647700</xdr:colOff>
      <xdr:row>810</xdr:row>
      <xdr:rowOff>31750</xdr:rowOff>
    </xdr:from>
    <xdr:ext cx="4445000" cy="328103"/>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36243C23-612D-924F-AB5E-AF1F116631F7}"/>
                </a:ext>
              </a:extLst>
            </xdr:cNvPr>
            <xdr:cNvSpPr txBox="1"/>
          </xdr:nvSpPr>
          <xdr:spPr>
            <a:xfrm>
              <a:off x="13518654700" y="315531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14.59</m:t>
                        </m:r>
                      </m:num>
                      <m:den>
                        <m:r>
                          <a:rPr lang="he-IL" sz="1100" b="0" i="1">
                            <a:latin typeface="Cambria Math" panose="02040503050406030204" pitchFamily="18" charset="0"/>
                          </a:rPr>
                          <m:t>10%−5%</m:t>
                        </m:r>
                      </m:den>
                    </m:f>
                    <m:r>
                      <a:rPr lang="he-IL" sz="1100" b="0" i="1">
                        <a:latin typeface="Cambria Math" panose="02040503050406030204" pitchFamily="18" charset="0"/>
                      </a:rPr>
                      <m:t>=291.72</m:t>
                    </m:r>
                  </m:oMath>
                </m:oMathPara>
              </a14:m>
              <a:endParaRPr lang="en-US" sz="1100"/>
            </a:p>
          </xdr:txBody>
        </xdr:sp>
      </mc:Choice>
      <mc:Fallback xmlns="">
        <xdr:sp macro="" textlink="">
          <xdr:nvSpPr>
            <xdr:cNvPr id="123" name="TextBox 122">
              <a:extLst>
                <a:ext uri="{FF2B5EF4-FFF2-40B4-BE49-F238E27FC236}">
                  <a16:creationId xmlns:a16="http://schemas.microsoft.com/office/drawing/2014/main" id="{36243C23-612D-924F-AB5E-AF1F116631F7}"/>
                </a:ext>
              </a:extLst>
            </xdr:cNvPr>
            <xdr:cNvSpPr txBox="1"/>
          </xdr:nvSpPr>
          <xdr:spPr>
            <a:xfrm>
              <a:off x="13518654700" y="31553150"/>
              <a:ext cx="4445000"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14.59</a:t>
              </a:r>
              <a:r>
                <a:rPr lang="en-US" sz="1100" b="0" i="0">
                  <a:latin typeface="Cambria Math" panose="02040503050406030204" pitchFamily="18" charset="0"/>
                </a:rPr>
                <a:t>/(</a:t>
              </a:r>
              <a:r>
                <a:rPr lang="he-IL" sz="1100" b="0" i="0">
                  <a:latin typeface="Cambria Math" panose="02040503050406030204" pitchFamily="18" charset="0"/>
                </a:rPr>
                <a:t>10%−5%</a:t>
              </a:r>
              <a:r>
                <a:rPr lang="en-US" sz="1100" b="0" i="0">
                  <a:latin typeface="Cambria Math" panose="02040503050406030204" pitchFamily="18" charset="0"/>
                </a:rPr>
                <a:t>)</a:t>
              </a:r>
              <a:r>
                <a:rPr lang="he-IL" sz="1100" b="0" i="0">
                  <a:latin typeface="Cambria Math" panose="02040503050406030204" pitchFamily="18" charset="0"/>
                </a:rPr>
                <a:t>=291.72</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oneCellAnchor>
    <xdr:from>
      <xdr:col>1</xdr:col>
      <xdr:colOff>287867</xdr:colOff>
      <xdr:row>26</xdr:row>
      <xdr:rowOff>182033</xdr:rowOff>
    </xdr:from>
    <xdr:ext cx="3867268"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1219540-96B2-8040-A441-FD94CC616FEA}"/>
                </a:ext>
              </a:extLst>
            </xdr:cNvPr>
            <xdr:cNvSpPr txBox="1"/>
          </xdr:nvSpPr>
          <xdr:spPr>
            <a:xfrm>
              <a:off x="13520087565" y="77258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2" name="TextBox 1">
              <a:extLst>
                <a:ext uri="{FF2B5EF4-FFF2-40B4-BE49-F238E27FC236}">
                  <a16:creationId xmlns:a16="http://schemas.microsoft.com/office/drawing/2014/main" id="{51219540-96B2-8040-A441-FD94CC616FEA}"/>
                </a:ext>
              </a:extLst>
            </xdr:cNvPr>
            <xdr:cNvSpPr txBox="1"/>
          </xdr:nvSpPr>
          <xdr:spPr>
            <a:xfrm>
              <a:off x="13520087565" y="77258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𝑟=𝑘_𝐸=</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twoCellAnchor editAs="oneCell">
    <xdr:from>
      <xdr:col>2</xdr:col>
      <xdr:colOff>280014</xdr:colOff>
      <xdr:row>691</xdr:row>
      <xdr:rowOff>15499</xdr:rowOff>
    </xdr:from>
    <xdr:to>
      <xdr:col>4</xdr:col>
      <xdr:colOff>994300</xdr:colOff>
      <xdr:row>691</xdr:row>
      <xdr:rowOff>184055</xdr:rowOff>
    </xdr:to>
    <mc:AlternateContent xmlns:mc="http://schemas.openxmlformats.org/markup-compatibility/2006" xmlns:a14="http://schemas.microsoft.com/office/drawing/2010/main">
      <mc:Choice Requires="a14">
        <xdr:sp macro="" textlink="">
          <xdr:nvSpPr>
            <xdr:cNvPr id="36" name="TextBox 49">
              <a:extLst>
                <a:ext uri="{FF2B5EF4-FFF2-40B4-BE49-F238E27FC236}">
                  <a16:creationId xmlns:a16="http://schemas.microsoft.com/office/drawing/2014/main" id="{D6CE7B82-8D75-BE4A-8D7C-4F3D524F6AEB}"/>
                </a:ext>
              </a:extLst>
            </xdr:cNvPr>
            <xdr:cNvSpPr txBox="1"/>
          </xdr:nvSpPr>
          <xdr:spPr>
            <a:xfrm>
              <a:off x="13478992860" y="131851659"/>
              <a:ext cx="2559446" cy="168556"/>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36" name="TextBox 49">
              <a:extLst>
                <a:ext uri="{FF2B5EF4-FFF2-40B4-BE49-F238E27FC236}">
                  <a16:creationId xmlns:a16="http://schemas.microsoft.com/office/drawing/2014/main" id="{D6CE7B82-8D75-BE4A-8D7C-4F3D524F6AEB}"/>
                </a:ext>
              </a:extLst>
            </xdr:cNvPr>
            <xdr:cNvSpPr txBox="1"/>
          </xdr:nvSpPr>
          <xdr:spPr>
            <a:xfrm>
              <a:off x="13478992860" y="131851659"/>
              <a:ext cx="2559446" cy="168556"/>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twoCellAnchor>
  <xdr:twoCellAnchor editAs="oneCell">
    <xdr:from>
      <xdr:col>2</xdr:col>
      <xdr:colOff>176505</xdr:colOff>
      <xdr:row>692</xdr:row>
      <xdr:rowOff>13219</xdr:rowOff>
    </xdr:from>
    <xdr:to>
      <xdr:col>4</xdr:col>
      <xdr:colOff>886831</xdr:colOff>
      <xdr:row>692</xdr:row>
      <xdr:rowOff>182514</xdr:rowOff>
    </xdr:to>
    <mc:AlternateContent xmlns:mc="http://schemas.openxmlformats.org/markup-compatibility/2006" xmlns:a14="http://schemas.microsoft.com/office/drawing/2010/main">
      <mc:Choice Requires="a14">
        <xdr:sp macro="" textlink="">
          <xdr:nvSpPr>
            <xdr:cNvPr id="39" name="TextBox 53">
              <a:extLst>
                <a:ext uri="{FF2B5EF4-FFF2-40B4-BE49-F238E27FC236}">
                  <a16:creationId xmlns:a16="http://schemas.microsoft.com/office/drawing/2014/main" id="{948943F4-D642-C142-85E2-2A0113A3CCD0}"/>
                </a:ext>
              </a:extLst>
            </xdr:cNvPr>
            <xdr:cNvSpPr txBox="1"/>
          </xdr:nvSpPr>
          <xdr:spPr>
            <a:xfrm>
              <a:off x="13479096369" y="132052579"/>
              <a:ext cx="2559446" cy="169295"/>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he-IL" sz="1100" b="0" i="1">
                        <a:latin typeface="Cambria Math" panose="02040503050406030204" pitchFamily="18" charset="0"/>
                      </a:rPr>
                      <m:t>3%+</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10%−3%</m:t>
                        </m:r>
                      </m:e>
                    </m:d>
                    <m:r>
                      <a:rPr lang="en-US" sz="1100" b="0" i="1">
                        <a:latin typeface="Cambria Math" panose="02040503050406030204" pitchFamily="18" charset="0"/>
                      </a:rPr>
                      <m:t>∗</m:t>
                    </m:r>
                    <m:r>
                      <a:rPr lang="he-IL" sz="1100" b="0" i="1">
                        <a:latin typeface="Cambria Math" panose="02040503050406030204" pitchFamily="18" charset="0"/>
                      </a:rPr>
                      <m:t>1.4=12.8%</m:t>
                    </m:r>
                  </m:oMath>
                </m:oMathPara>
              </a14:m>
              <a:endParaRPr lang="en-US" sz="1100"/>
            </a:p>
          </xdr:txBody>
        </xdr:sp>
      </mc:Choice>
      <mc:Fallback xmlns="">
        <xdr:sp macro="" textlink="">
          <xdr:nvSpPr>
            <xdr:cNvPr id="39" name="TextBox 53">
              <a:extLst>
                <a:ext uri="{FF2B5EF4-FFF2-40B4-BE49-F238E27FC236}">
                  <a16:creationId xmlns:a16="http://schemas.microsoft.com/office/drawing/2014/main" id="{948943F4-D642-C142-85E2-2A0113A3CCD0}"/>
                </a:ext>
              </a:extLst>
            </xdr:cNvPr>
            <xdr:cNvSpPr txBox="1"/>
          </xdr:nvSpPr>
          <xdr:spPr>
            <a:xfrm>
              <a:off x="13479096369" y="132052579"/>
              <a:ext cx="2559446" cy="169295"/>
            </a:xfrm>
            <a:prstGeom prst="rect">
              <a:avLst/>
            </a:prstGeom>
            <a:noFill/>
          </xdr:spPr>
          <xdr:style>
            <a:lnRef idx="0">
              <a:scrgbClr r="0" g="0" b="0"/>
            </a:lnRef>
            <a:fillRef idx="0">
              <a:scrgbClr r="0" g="0" b="0"/>
            </a:fillRef>
            <a:effectRef idx="0">
              <a:scrgbClr r="0" g="0" b="0"/>
            </a:effectRef>
            <a:fontRef idx="minor">
              <a:schemeClr val="tx1"/>
            </a:fontRef>
          </xdr:style>
          <xdr:txBody>
            <a:bodyPr wrap="square" lIns="0" tIns="0" rIns="0" bIns="0"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pPr algn="r" rtl="1"/>
              <a:r>
                <a:rPr lang="en-US" sz="1100" b="0" i="0">
                  <a:latin typeface="Cambria Math" panose="02040503050406030204" pitchFamily="18" charset="0"/>
                </a:rPr>
                <a:t>𝑘_𝐸=</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1.4=12.8%</a:t>
              </a:r>
              <a:endParaRPr lang="en-US" sz="1100"/>
            </a:p>
          </xdr:txBody>
        </xdr:sp>
      </mc:Fallback>
    </mc:AlternateContent>
    <xdr:clientData/>
  </xdr:twoCellAnchor>
  <xdr:oneCellAnchor>
    <xdr:from>
      <xdr:col>2</xdr:col>
      <xdr:colOff>64714</xdr:colOff>
      <xdr:row>801</xdr:row>
      <xdr:rowOff>68642</xdr:rowOff>
    </xdr:from>
    <xdr:ext cx="3193801"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1D4806D-5A08-6E46-AD5E-4F8B8AADCD5F}"/>
                </a:ext>
              </a:extLst>
            </xdr:cNvPr>
            <xdr:cNvSpPr txBox="1"/>
          </xdr:nvSpPr>
          <xdr:spPr>
            <a:xfrm>
              <a:off x="13520095185" y="9009442"/>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1D4806D-5A08-6E46-AD5E-4F8B8AADCD5F}"/>
                </a:ext>
              </a:extLst>
            </xdr:cNvPr>
            <xdr:cNvSpPr txBox="1"/>
          </xdr:nvSpPr>
          <xdr:spPr>
            <a:xfrm>
              <a:off x="13520095185" y="9009442"/>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2</xdr:col>
      <xdr:colOff>283122</xdr:colOff>
      <xdr:row>812</xdr:row>
      <xdr:rowOff>40284</xdr:rowOff>
    </xdr:from>
    <xdr:ext cx="2118713" cy="316882"/>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5CF09D9B-5B83-8A41-A98A-38F35784B418}"/>
                </a:ext>
              </a:extLst>
            </xdr:cNvPr>
            <xdr:cNvSpPr txBox="1"/>
          </xdr:nvSpPr>
          <xdr:spPr>
            <a:xfrm>
              <a:off x="13520951865" y="11216284"/>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5CF09D9B-5B83-8A41-A98A-38F35784B418}"/>
                </a:ext>
              </a:extLst>
            </xdr:cNvPr>
            <xdr:cNvSpPr txBox="1"/>
          </xdr:nvSpPr>
          <xdr:spPr>
            <a:xfrm>
              <a:off x="13520951865" y="11216284"/>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𝑤_𝐸=𝐸/𝑉</a:t>
              </a:r>
              <a:endParaRPr lang="en-US" sz="1100"/>
            </a:p>
          </xdr:txBody>
        </xdr:sp>
      </mc:Fallback>
    </mc:AlternateContent>
    <xdr:clientData/>
  </xdr:oneCellAnchor>
  <xdr:oneCellAnchor>
    <xdr:from>
      <xdr:col>2</xdr:col>
      <xdr:colOff>283122</xdr:colOff>
      <xdr:row>814</xdr:row>
      <xdr:rowOff>104997</xdr:rowOff>
    </xdr:from>
    <xdr:ext cx="2118713" cy="316882"/>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41D69492-FFBE-6148-81B0-DAE3D5B47B54}"/>
                </a:ext>
              </a:extLst>
            </xdr:cNvPr>
            <xdr:cNvSpPr txBox="1"/>
          </xdr:nvSpPr>
          <xdr:spPr>
            <a:xfrm>
              <a:off x="13520951865" y="11687397"/>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52" name="TextBox 51">
              <a:extLst>
                <a:ext uri="{FF2B5EF4-FFF2-40B4-BE49-F238E27FC236}">
                  <a16:creationId xmlns:a16="http://schemas.microsoft.com/office/drawing/2014/main" id="{41D69492-FFBE-6148-81B0-DAE3D5B47B54}"/>
                </a:ext>
              </a:extLst>
            </xdr:cNvPr>
            <xdr:cNvSpPr txBox="1"/>
          </xdr:nvSpPr>
          <xdr:spPr>
            <a:xfrm>
              <a:off x="13520951865" y="11687397"/>
              <a:ext cx="21187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𝑤_𝐷=𝐷/𝑉</a:t>
              </a:r>
              <a:endParaRPr lang="en-US" sz="1100"/>
            </a:p>
          </xdr:txBody>
        </xdr:sp>
      </mc:Fallback>
    </mc:AlternateContent>
    <xdr:clientData/>
  </xdr:oneCellAnchor>
  <xdr:oneCellAnchor>
    <xdr:from>
      <xdr:col>2</xdr:col>
      <xdr:colOff>663311</xdr:colOff>
      <xdr:row>821</xdr:row>
      <xdr:rowOff>24106</xdr:rowOff>
    </xdr:from>
    <xdr:ext cx="1738522" cy="17222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DB3C908D-0358-614F-9E47-DF1F91460BB3}"/>
                </a:ext>
              </a:extLst>
            </xdr:cNvPr>
            <xdr:cNvSpPr txBox="1"/>
          </xdr:nvSpPr>
          <xdr:spPr>
            <a:xfrm>
              <a:off x="13520951867" y="13028906"/>
              <a:ext cx="17385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=100,000,000</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DB3C908D-0358-614F-9E47-DF1F91460BB3}"/>
                </a:ext>
              </a:extLst>
            </xdr:cNvPr>
            <xdr:cNvSpPr txBox="1"/>
          </xdr:nvSpPr>
          <xdr:spPr>
            <a:xfrm>
              <a:off x="13520951867" y="13028906"/>
              <a:ext cx="17385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𝐷=100,000,000</a:t>
              </a:r>
              <a:endParaRPr lang="en-US" sz="1100"/>
            </a:p>
          </xdr:txBody>
        </xdr:sp>
      </mc:Fallback>
    </mc:AlternateContent>
    <xdr:clientData/>
  </xdr:oneCellAnchor>
  <xdr:oneCellAnchor>
    <xdr:from>
      <xdr:col>2</xdr:col>
      <xdr:colOff>258854</xdr:colOff>
      <xdr:row>826</xdr:row>
      <xdr:rowOff>104996</xdr:rowOff>
    </xdr:from>
    <xdr:ext cx="2409923" cy="3445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B441BBDC-A0E6-8E4C-BEC9-41F63EE49C02}"/>
                </a:ext>
              </a:extLst>
            </xdr:cNvPr>
            <xdr:cNvSpPr txBox="1"/>
          </xdr:nvSpPr>
          <xdr:spPr>
            <a:xfrm>
              <a:off x="13520684923" y="14125796"/>
              <a:ext cx="24099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54" name="TextBox 53">
              <a:extLst>
                <a:ext uri="{FF2B5EF4-FFF2-40B4-BE49-F238E27FC236}">
                  <a16:creationId xmlns:a16="http://schemas.microsoft.com/office/drawing/2014/main" id="{B441BBDC-A0E6-8E4C-BEC9-41F63EE49C02}"/>
                </a:ext>
              </a:extLst>
            </xdr:cNvPr>
            <xdr:cNvSpPr txBox="1"/>
          </xdr:nvSpPr>
          <xdr:spPr>
            <a:xfrm>
              <a:off x="13520684923" y="14125796"/>
              <a:ext cx="24099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endParaRPr lang="en-US" sz="1100"/>
            </a:p>
          </xdr:txBody>
        </xdr:sp>
      </mc:Fallback>
    </mc:AlternateContent>
    <xdr:clientData/>
  </xdr:oneCellAnchor>
  <xdr:oneCellAnchor>
    <xdr:from>
      <xdr:col>2</xdr:col>
      <xdr:colOff>258854</xdr:colOff>
      <xdr:row>830</xdr:row>
      <xdr:rowOff>64550</xdr:rowOff>
    </xdr:from>
    <xdr:ext cx="2409923" cy="328103"/>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B220EAE2-0EC8-FC4C-9D69-C3C24280FE77}"/>
                </a:ext>
              </a:extLst>
            </xdr:cNvPr>
            <xdr:cNvSpPr txBox="1"/>
          </xdr:nvSpPr>
          <xdr:spPr>
            <a:xfrm>
              <a:off x="13520684923" y="14898150"/>
              <a:ext cx="2409923"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m:t>
                        </m:r>
                      </m:num>
                      <m:den>
                        <m:r>
                          <a:rPr lang="he-IL" sz="1100" b="0" i="1">
                            <a:latin typeface="Cambria Math" panose="02040503050406030204" pitchFamily="18" charset="0"/>
                          </a:rPr>
                          <m:t>15%−5%</m:t>
                        </m:r>
                      </m:den>
                    </m:f>
                    <m:r>
                      <a:rPr lang="he-IL" sz="1100" b="0" i="1">
                        <a:latin typeface="Cambria Math" panose="02040503050406030204" pitchFamily="18" charset="0"/>
                      </a:rPr>
                      <m:t>=50</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B220EAE2-0EC8-FC4C-9D69-C3C24280FE77}"/>
                </a:ext>
              </a:extLst>
            </xdr:cNvPr>
            <xdr:cNvSpPr txBox="1"/>
          </xdr:nvSpPr>
          <xdr:spPr>
            <a:xfrm>
              <a:off x="13520684923" y="14898150"/>
              <a:ext cx="2409923"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752292</xdr:colOff>
      <xdr:row>833</xdr:row>
      <xdr:rowOff>16016</xdr:rowOff>
    </xdr:from>
    <xdr:ext cx="3373184"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26098670-38E2-D243-839B-7A886BB8033D}"/>
                </a:ext>
              </a:extLst>
            </xdr:cNvPr>
            <xdr:cNvSpPr txBox="1"/>
          </xdr:nvSpPr>
          <xdr:spPr>
            <a:xfrm>
              <a:off x="13519228224" y="15459216"/>
              <a:ext cx="33731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=3,000,000∗</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=3,000,000∗50=150,000,000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26098670-38E2-D243-839B-7A886BB8033D}"/>
                </a:ext>
              </a:extLst>
            </xdr:cNvPr>
            <xdr:cNvSpPr txBox="1"/>
          </xdr:nvSpPr>
          <xdr:spPr>
            <a:xfrm>
              <a:off x="13519228224" y="15459216"/>
              <a:ext cx="33731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𝐸=3,000,000∗𝑃_𝑆=3,000,000∗50=150,000,000</a:t>
              </a:r>
              <a:endParaRPr lang="en-US" sz="1100"/>
            </a:p>
          </xdr:txBody>
        </xdr:sp>
      </mc:Fallback>
    </mc:AlternateContent>
    <xdr:clientData/>
  </xdr:oneCellAnchor>
  <xdr:oneCellAnchor>
    <xdr:from>
      <xdr:col>2</xdr:col>
      <xdr:colOff>275032</xdr:colOff>
      <xdr:row>835</xdr:row>
      <xdr:rowOff>32194</xdr:rowOff>
    </xdr:from>
    <xdr:ext cx="4028407" cy="172227"/>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C4E8D932-023C-444C-A819-B8EC498F1238}"/>
                </a:ext>
              </a:extLst>
            </xdr:cNvPr>
            <xdr:cNvSpPr txBox="1"/>
          </xdr:nvSpPr>
          <xdr:spPr>
            <a:xfrm>
              <a:off x="13519050261" y="15881794"/>
              <a:ext cx="402840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𝑉</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r>
                      <a:rPr lang="en-US" sz="1100" b="0" i="1">
                        <a:latin typeface="Cambria Math" panose="02040503050406030204" pitchFamily="18" charset="0"/>
                      </a:rPr>
                      <m:t>𝐸</m:t>
                    </m:r>
                    <m:r>
                      <a:rPr lang="en-US" sz="1100" b="0" i="1">
                        <a:latin typeface="Cambria Math" panose="02040503050406030204" pitchFamily="18" charset="0"/>
                      </a:rPr>
                      <m:t>=100,000,000+150,000,000=250,000,000</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C4E8D932-023C-444C-A819-B8EC498F1238}"/>
                </a:ext>
              </a:extLst>
            </xdr:cNvPr>
            <xdr:cNvSpPr txBox="1"/>
          </xdr:nvSpPr>
          <xdr:spPr>
            <a:xfrm>
              <a:off x="13519050261" y="15881794"/>
              <a:ext cx="402840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𝑉=𝐷+𝐸=100,000,000+150,000,000=250,000,000</a:t>
              </a:r>
              <a:endParaRPr lang="en-US" sz="1100"/>
            </a:p>
          </xdr:txBody>
        </xdr:sp>
      </mc:Fallback>
    </mc:AlternateContent>
    <xdr:clientData/>
  </xdr:oneCellAnchor>
  <xdr:oneCellAnchor>
    <xdr:from>
      <xdr:col>2</xdr:col>
      <xdr:colOff>558153</xdr:colOff>
      <xdr:row>838</xdr:row>
      <xdr:rowOff>145605</xdr:rowOff>
    </xdr:from>
    <xdr:ext cx="2636420" cy="339388"/>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0F665DE2-AEB9-D946-82C6-D31FAD24D621}"/>
                </a:ext>
              </a:extLst>
            </xdr:cNvPr>
            <xdr:cNvSpPr txBox="1"/>
          </xdr:nvSpPr>
          <xdr:spPr>
            <a:xfrm>
              <a:off x="13520159127" y="16604805"/>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150,000,000</m:t>
                        </m:r>
                      </m:num>
                      <m:den>
                        <m:r>
                          <a:rPr lang="he-IL" sz="1100" b="0" i="1">
                            <a:latin typeface="Cambria Math" panose="02040503050406030204" pitchFamily="18" charset="0"/>
                          </a:rPr>
                          <m:t>250,000,000</m:t>
                        </m:r>
                      </m:den>
                    </m:f>
                    <m:r>
                      <a:rPr lang="he-IL" sz="1100" b="0" i="1">
                        <a:latin typeface="Cambria Math" panose="02040503050406030204" pitchFamily="18" charset="0"/>
                      </a:rPr>
                      <m:t>=0.6=60%</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0F665DE2-AEB9-D946-82C6-D31FAD24D621}"/>
                </a:ext>
              </a:extLst>
            </xdr:cNvPr>
            <xdr:cNvSpPr txBox="1"/>
          </xdr:nvSpPr>
          <xdr:spPr>
            <a:xfrm>
              <a:off x="13520159127" y="16604805"/>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𝑤_𝐸=𝐸/𝑉</a:t>
              </a:r>
              <a:r>
                <a:rPr lang="he-IL" sz="1100" b="0" i="0">
                  <a:latin typeface="Cambria Math" panose="02040503050406030204" pitchFamily="18" charset="0"/>
                </a:rPr>
                <a:t>=150,000,000/250,000,000=0.6=60%</a:t>
              </a:r>
              <a:endParaRPr lang="en-US" sz="1100"/>
            </a:p>
          </xdr:txBody>
        </xdr:sp>
      </mc:Fallback>
    </mc:AlternateContent>
    <xdr:clientData/>
  </xdr:oneCellAnchor>
  <xdr:oneCellAnchor>
    <xdr:from>
      <xdr:col>2</xdr:col>
      <xdr:colOff>574332</xdr:colOff>
      <xdr:row>841</xdr:row>
      <xdr:rowOff>72802</xdr:rowOff>
    </xdr:from>
    <xdr:ext cx="2636420" cy="33938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A24615D4-0CC7-B841-AF61-FEC9B41497ED}"/>
                </a:ext>
              </a:extLst>
            </xdr:cNvPr>
            <xdr:cNvSpPr txBox="1"/>
          </xdr:nvSpPr>
          <xdr:spPr>
            <a:xfrm>
              <a:off x="13520142948" y="17141602"/>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100,000,000</m:t>
                        </m:r>
                      </m:num>
                      <m:den>
                        <m:r>
                          <a:rPr lang="he-IL" sz="1100" b="0" i="1">
                            <a:latin typeface="Cambria Math" panose="02040503050406030204" pitchFamily="18" charset="0"/>
                          </a:rPr>
                          <m:t>250,000,000</m:t>
                        </m:r>
                      </m:den>
                    </m:f>
                    <m:r>
                      <a:rPr lang="he-IL" sz="1100" b="0" i="1">
                        <a:latin typeface="Cambria Math" panose="02040503050406030204" pitchFamily="18" charset="0"/>
                      </a:rPr>
                      <m:t>=0.</m:t>
                    </m:r>
                    <m:r>
                      <a:rPr lang="en-US" sz="1100" b="0" i="1">
                        <a:latin typeface="Cambria Math" panose="02040503050406030204" pitchFamily="18" charset="0"/>
                      </a:rPr>
                      <m:t>4</m:t>
                    </m:r>
                    <m:r>
                      <a:rPr lang="he-IL" sz="1100" b="0" i="1">
                        <a:latin typeface="Cambria Math" panose="02040503050406030204" pitchFamily="18" charset="0"/>
                      </a:rPr>
                      <m:t>=</m:t>
                    </m:r>
                    <m:r>
                      <a:rPr lang="en-US" sz="1100" b="0" i="1">
                        <a:latin typeface="Cambria Math" panose="02040503050406030204" pitchFamily="18" charset="0"/>
                      </a:rPr>
                      <m:t>4</m:t>
                    </m:r>
                    <m:r>
                      <a:rPr lang="he-IL" sz="1100" b="0" i="1">
                        <a:latin typeface="Cambria Math" panose="02040503050406030204" pitchFamily="18" charset="0"/>
                      </a:rPr>
                      <m:t>0%</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A24615D4-0CC7-B841-AF61-FEC9B41497ED}"/>
                </a:ext>
              </a:extLst>
            </xdr:cNvPr>
            <xdr:cNvSpPr txBox="1"/>
          </xdr:nvSpPr>
          <xdr:spPr>
            <a:xfrm>
              <a:off x="13520142948" y="17141602"/>
              <a:ext cx="2636420"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𝑤_𝐷=𝐷/𝑉</a:t>
              </a:r>
              <a:r>
                <a:rPr lang="he-IL" sz="1100" b="0" i="0">
                  <a:latin typeface="Cambria Math" panose="02040503050406030204" pitchFamily="18" charset="0"/>
                </a:rPr>
                <a:t>=100,000,000/250,000,000=0.</a:t>
              </a:r>
              <a:r>
                <a:rPr lang="en-US" sz="1100" b="0" i="0">
                  <a:latin typeface="Cambria Math" panose="02040503050406030204" pitchFamily="18" charset="0"/>
                </a:rPr>
                <a:t>4</a:t>
              </a:r>
              <a:r>
                <a:rPr lang="he-IL" sz="1100" b="0" i="0">
                  <a:latin typeface="Cambria Math" panose="02040503050406030204" pitchFamily="18" charset="0"/>
                </a:rPr>
                <a:t>=</a:t>
              </a:r>
              <a:r>
                <a:rPr lang="en-US" sz="1100" b="0" i="0">
                  <a:latin typeface="Cambria Math" panose="02040503050406030204" pitchFamily="18" charset="0"/>
                </a:rPr>
                <a:t>4</a:t>
              </a:r>
              <a:r>
                <a:rPr lang="he-IL" sz="1100" b="0" i="0">
                  <a:latin typeface="Cambria Math" panose="02040503050406030204" pitchFamily="18" charset="0"/>
                </a:rPr>
                <a:t>0%</a:t>
              </a:r>
              <a:endParaRPr lang="en-US" sz="1100"/>
            </a:p>
          </xdr:txBody>
        </xdr:sp>
      </mc:Fallback>
    </mc:AlternateContent>
    <xdr:clientData/>
  </xdr:oneCellAnchor>
  <xdr:oneCellAnchor>
    <xdr:from>
      <xdr:col>2</xdr:col>
      <xdr:colOff>0</xdr:colOff>
      <xdr:row>846</xdr:row>
      <xdr:rowOff>0</xdr:rowOff>
    </xdr:from>
    <xdr:ext cx="319380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14EA4809-DEAB-C243-BE2D-7024733849BC}"/>
                </a:ext>
              </a:extLst>
            </xdr:cNvPr>
            <xdr:cNvSpPr txBox="1"/>
          </xdr:nvSpPr>
          <xdr:spPr>
            <a:xfrm>
              <a:off x="13520159899" y="18084800"/>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14EA4809-DEAB-C243-BE2D-7024733849BC}"/>
                </a:ext>
              </a:extLst>
            </xdr:cNvPr>
            <xdr:cNvSpPr txBox="1"/>
          </xdr:nvSpPr>
          <xdr:spPr>
            <a:xfrm>
              <a:off x="13520159899" y="18084800"/>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768471</xdr:colOff>
      <xdr:row>848</xdr:row>
      <xdr:rowOff>16178</xdr:rowOff>
    </xdr:from>
    <xdr:ext cx="4067432"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95D1E1AE-CB3A-FD4A-89F2-6D95A2899B6A}"/>
                </a:ext>
              </a:extLst>
            </xdr:cNvPr>
            <xdr:cNvSpPr txBox="1"/>
          </xdr:nvSpPr>
          <xdr:spPr>
            <a:xfrm>
              <a:off x="13520168797" y="18507378"/>
              <a:ext cx="40674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=60%∗15%+40%∗7%∗</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𝟏𝟏</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𝟏𝟓𝟔</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1" name="TextBox 60">
              <a:extLst>
                <a:ext uri="{FF2B5EF4-FFF2-40B4-BE49-F238E27FC236}">
                  <a16:creationId xmlns:a16="http://schemas.microsoft.com/office/drawing/2014/main" id="{95D1E1AE-CB3A-FD4A-89F2-6D95A2899B6A}"/>
                </a:ext>
              </a:extLst>
            </xdr:cNvPr>
            <xdr:cNvSpPr txBox="1"/>
          </xdr:nvSpPr>
          <xdr:spPr>
            <a:xfrm>
              <a:off x="13520168797" y="18507378"/>
              <a:ext cx="40674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𝑊𝐴𝐶𝐶=60%∗15%+40%∗7%∗</a:t>
              </a:r>
              <a:r>
                <a:rPr lang="he-IL" sz="1100" b="0" i="0">
                  <a:latin typeface="Cambria Math" panose="02040503050406030204" pitchFamily="18" charset="0"/>
                </a:rPr>
                <a:t>(1−23%)=</a:t>
              </a:r>
              <a:r>
                <a:rPr lang="he-IL" sz="1100" b="1" i="0">
                  <a:solidFill>
                    <a:srgbClr val="FF0000"/>
                  </a:solidFill>
                  <a:latin typeface="Cambria Math" panose="02040503050406030204" pitchFamily="18" charset="0"/>
                </a:rPr>
                <a:t>𝟏𝟏.𝟏𝟓𝟔%</a:t>
              </a:r>
              <a:endParaRPr lang="en-US" sz="1100" b="1"/>
            </a:p>
          </xdr:txBody>
        </xdr:sp>
      </mc:Fallback>
    </mc:AlternateContent>
    <xdr:clientData/>
  </xdr:oneCellAnchor>
  <xdr:oneCellAnchor>
    <xdr:from>
      <xdr:col>1</xdr:col>
      <xdr:colOff>540222</xdr:colOff>
      <xdr:row>905</xdr:row>
      <xdr:rowOff>16680</xdr:rowOff>
    </xdr:from>
    <xdr:ext cx="2938060"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E99E7A2F-2346-9844-B505-F91071E5A21C}"/>
                </a:ext>
              </a:extLst>
            </xdr:cNvPr>
            <xdr:cNvSpPr txBox="1"/>
          </xdr:nvSpPr>
          <xdr:spPr>
            <a:xfrm>
              <a:off x="13520700918" y="301410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=40%∗400,000,000=160,000,000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E99E7A2F-2346-9844-B505-F91071E5A21C}"/>
                </a:ext>
              </a:extLst>
            </xdr:cNvPr>
            <xdr:cNvSpPr txBox="1"/>
          </xdr:nvSpPr>
          <xdr:spPr>
            <a:xfrm>
              <a:off x="13520700918" y="301410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𝐷=40%∗400,000,000=160,000,000</a:t>
              </a:r>
              <a:endParaRPr lang="en-US" sz="1100"/>
            </a:p>
          </xdr:txBody>
        </xdr:sp>
      </mc:Fallback>
    </mc:AlternateContent>
    <xdr:clientData/>
  </xdr:oneCellAnchor>
  <xdr:oneCellAnchor>
    <xdr:from>
      <xdr:col>1</xdr:col>
      <xdr:colOff>805597</xdr:colOff>
      <xdr:row>912</xdr:row>
      <xdr:rowOff>130412</xdr:rowOff>
    </xdr:from>
    <xdr:ext cx="3086124" cy="339388"/>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9617C491-C1F5-2D47-A1AE-146381AEE5E4}"/>
                </a:ext>
              </a:extLst>
            </xdr:cNvPr>
            <xdr:cNvSpPr txBox="1"/>
          </xdr:nvSpPr>
          <xdr:spPr>
            <a:xfrm>
              <a:off x="13520287479" y="31677212"/>
              <a:ext cx="308612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7,500,000</m:t>
                        </m:r>
                      </m:num>
                      <m:den>
                        <m:r>
                          <a:rPr lang="en-US" sz="1100" b="0" i="1">
                            <a:latin typeface="Cambria Math" panose="02040503050406030204" pitchFamily="18" charset="0"/>
                          </a:rPr>
                          <m:t>160,000,000</m:t>
                        </m:r>
                      </m:den>
                    </m:f>
                    <m:r>
                      <a:rPr lang="en-US" sz="1100" b="0" i="1">
                        <a:latin typeface="Cambria Math" panose="02040503050406030204" pitchFamily="18" charset="0"/>
                      </a:rPr>
                      <m:t>=4.6875%</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9617C491-C1F5-2D47-A1AE-146381AEE5E4}"/>
                </a:ext>
              </a:extLst>
            </xdr:cNvPr>
            <xdr:cNvSpPr txBox="1"/>
          </xdr:nvSpPr>
          <xdr:spPr>
            <a:xfrm>
              <a:off x="13520287479" y="31677212"/>
              <a:ext cx="308612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𝑘_𝐷=7,500,000/160,000,000=4.6875%</a:t>
              </a:r>
              <a:endParaRPr lang="en-US" sz="1100"/>
            </a:p>
          </xdr:txBody>
        </xdr:sp>
      </mc:Fallback>
    </mc:AlternateContent>
    <xdr:clientData/>
  </xdr:oneCellAnchor>
  <xdr:oneCellAnchor>
    <xdr:from>
      <xdr:col>1</xdr:col>
      <xdr:colOff>701342</xdr:colOff>
      <xdr:row>923</xdr:row>
      <xdr:rowOff>16680</xdr:rowOff>
    </xdr:from>
    <xdr:ext cx="293806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7B7E7CC-9088-2D47-B49A-FD9DE7D0D390}"/>
                </a:ext>
              </a:extLst>
            </xdr:cNvPr>
            <xdr:cNvSpPr txBox="1"/>
          </xdr:nvSpPr>
          <xdr:spPr>
            <a:xfrm>
              <a:off x="13520539798" y="337986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=60%∗400,000,000=240,000,0000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C7B7E7CC-9088-2D47-B49A-FD9DE7D0D390}"/>
                </a:ext>
              </a:extLst>
            </xdr:cNvPr>
            <xdr:cNvSpPr txBox="1"/>
          </xdr:nvSpPr>
          <xdr:spPr>
            <a:xfrm>
              <a:off x="13520539798" y="33798680"/>
              <a:ext cx="293806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𝐸=60%∗400,000,000=240,000,0000</a:t>
              </a:r>
              <a:endParaRPr lang="en-US" sz="1100"/>
            </a:p>
          </xdr:txBody>
        </xdr:sp>
      </mc:Fallback>
    </mc:AlternateContent>
    <xdr:clientData/>
  </xdr:oneCellAnchor>
  <xdr:oneCellAnchor>
    <xdr:from>
      <xdr:col>1</xdr:col>
      <xdr:colOff>699189</xdr:colOff>
      <xdr:row>938</xdr:row>
      <xdr:rowOff>41879</xdr:rowOff>
    </xdr:from>
    <xdr:ext cx="3327518" cy="34567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7936B397-B88A-3946-8FE1-9288FFD54A23}"/>
                </a:ext>
              </a:extLst>
            </xdr:cNvPr>
            <xdr:cNvSpPr txBox="1"/>
          </xdr:nvSpPr>
          <xdr:spPr>
            <a:xfrm>
              <a:off x="13520152493" y="36871879"/>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7936B397-B88A-3946-8FE1-9288FFD54A23}"/>
                </a:ext>
              </a:extLst>
            </xdr:cNvPr>
            <xdr:cNvSpPr txBox="1"/>
          </xdr:nvSpPr>
          <xdr:spPr>
            <a:xfrm>
              <a:off x="13520152493" y="36871879"/>
              <a:ext cx="332751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𝑘_𝐸=𝑔+𝐷𝐼𝑉/𝑃_𝑆 </a:t>
              </a:r>
              <a:endParaRPr lang="en-US" sz="1100"/>
            </a:p>
          </xdr:txBody>
        </xdr:sp>
      </mc:Fallback>
    </mc:AlternateContent>
    <xdr:clientData/>
  </xdr:oneCellAnchor>
  <xdr:oneCellAnchor>
    <xdr:from>
      <xdr:col>1</xdr:col>
      <xdr:colOff>478501</xdr:colOff>
      <xdr:row>942</xdr:row>
      <xdr:rowOff>138810</xdr:rowOff>
    </xdr:from>
    <xdr:ext cx="3327518" cy="31688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8B220A31-1819-E14C-82D6-8F090BF0DEF2}"/>
                </a:ext>
              </a:extLst>
            </xdr:cNvPr>
            <xdr:cNvSpPr txBox="1"/>
          </xdr:nvSpPr>
          <xdr:spPr>
            <a:xfrm>
              <a:off x="13520373181" y="37781610"/>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solidFill>
                              <a:srgbClr val="FF0000"/>
                            </a:solidFill>
                            <a:latin typeface="Cambria Math" panose="02040503050406030204" pitchFamily="18" charset="0"/>
                          </a:rPr>
                        </m:ctrlPr>
                      </m:sSubPr>
                      <m:e>
                        <m:r>
                          <a:rPr lang="en-US" sz="1100" b="1" i="1">
                            <a:solidFill>
                              <a:srgbClr val="FF0000"/>
                            </a:solidFill>
                            <a:latin typeface="Cambria Math" panose="02040503050406030204" pitchFamily="18" charset="0"/>
                          </a:rPr>
                          <m:t>𝒌</m:t>
                        </m:r>
                      </m:e>
                      <m:sub>
                        <m:r>
                          <a:rPr lang="en-US" sz="1100" b="1" i="1">
                            <a:solidFill>
                              <a:srgbClr val="FF0000"/>
                            </a:solidFill>
                            <a:latin typeface="Cambria Math" panose="02040503050406030204" pitchFamily="18" charset="0"/>
                          </a:rPr>
                          <m:t>𝑬</m:t>
                        </m:r>
                      </m:sub>
                    </m:sSub>
                    <m:r>
                      <a:rPr lang="en-US" sz="1100" b="0" i="1">
                        <a:latin typeface="Cambria Math" panose="02040503050406030204" pitchFamily="18" charset="0"/>
                      </a:rPr>
                      <m:t>=3.5%+</m:t>
                    </m:r>
                    <m:f>
                      <m:fPr>
                        <m:ctrlPr>
                          <a:rPr lang="en-US" sz="1100" b="0" i="1">
                            <a:latin typeface="Cambria Math" panose="02040503050406030204" pitchFamily="18" charset="0"/>
                          </a:rPr>
                        </m:ctrlPr>
                      </m:fPr>
                      <m:num>
                        <m:r>
                          <a:rPr lang="en-US" sz="1100" b="0" i="1">
                            <a:latin typeface="Cambria Math" panose="02040503050406030204" pitchFamily="18" charset="0"/>
                          </a:rPr>
                          <m:t>60%∗8</m:t>
                        </m:r>
                      </m:num>
                      <m:den>
                        <m:r>
                          <a:rPr lang="en-US" sz="1100" b="0" i="1">
                            <a:latin typeface="Cambria Math" panose="02040503050406030204" pitchFamily="18" charset="0"/>
                          </a:rPr>
                          <m:t>120</m:t>
                        </m:r>
                      </m:den>
                    </m:f>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𝟕</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m:t>
                    </m:r>
                    <m:r>
                      <a:rPr lang="en-US"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6" name="TextBox 65">
              <a:extLst>
                <a:ext uri="{FF2B5EF4-FFF2-40B4-BE49-F238E27FC236}">
                  <a16:creationId xmlns:a16="http://schemas.microsoft.com/office/drawing/2014/main" id="{8B220A31-1819-E14C-82D6-8F090BF0DEF2}"/>
                </a:ext>
              </a:extLst>
            </xdr:cNvPr>
            <xdr:cNvSpPr txBox="1"/>
          </xdr:nvSpPr>
          <xdr:spPr>
            <a:xfrm>
              <a:off x="13520373181" y="37781610"/>
              <a:ext cx="332751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𝒌_𝑬</a:t>
              </a:r>
              <a:r>
                <a:rPr lang="en-US" sz="1100" b="0" i="0">
                  <a:latin typeface="Cambria Math" panose="02040503050406030204" pitchFamily="18" charset="0"/>
                </a:rPr>
                <a:t>=3.5%+(60%∗8)/120=</a:t>
              </a:r>
              <a:r>
                <a:rPr lang="en-US" sz="1100" b="1" i="0">
                  <a:solidFill>
                    <a:srgbClr val="FF0000"/>
                  </a:solidFill>
                  <a:latin typeface="Cambria Math" panose="02040503050406030204" pitchFamily="18" charset="0"/>
                </a:rPr>
                <a:t>𝟕.𝟓%</a:t>
              </a:r>
              <a:endParaRPr lang="en-US" sz="1100" b="1"/>
            </a:p>
          </xdr:txBody>
        </xdr:sp>
      </mc:Fallback>
    </mc:AlternateContent>
    <xdr:clientData/>
  </xdr:oneCellAnchor>
  <xdr:oneCellAnchor>
    <xdr:from>
      <xdr:col>1</xdr:col>
      <xdr:colOff>585457</xdr:colOff>
      <xdr:row>950</xdr:row>
      <xdr:rowOff>87728</xdr:rowOff>
    </xdr:from>
    <xdr:ext cx="3193801"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F1C369E-60B0-CD48-8F52-263BB4829E19}"/>
                </a:ext>
              </a:extLst>
            </xdr:cNvPr>
            <xdr:cNvSpPr txBox="1"/>
          </xdr:nvSpPr>
          <xdr:spPr>
            <a:xfrm>
              <a:off x="13520399942" y="39356128"/>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5F1C369E-60B0-CD48-8F52-263BB4829E19}"/>
                </a:ext>
              </a:extLst>
            </xdr:cNvPr>
            <xdr:cNvSpPr txBox="1"/>
          </xdr:nvSpPr>
          <xdr:spPr>
            <a:xfrm>
              <a:off x="13520399942" y="39356128"/>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653956</xdr:colOff>
      <xdr:row>953</xdr:row>
      <xdr:rowOff>47387</xdr:rowOff>
    </xdr:from>
    <xdr:ext cx="5041935" cy="335926"/>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17C48188-4E14-B14E-AB9C-C4278AAAD0B6}"/>
                </a:ext>
              </a:extLst>
            </xdr:cNvPr>
            <xdr:cNvSpPr txBox="1"/>
          </xdr:nvSpPr>
          <xdr:spPr>
            <a:xfrm>
              <a:off x="13519308809" y="39925387"/>
              <a:ext cx="5041935"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240,000,000</m:t>
                        </m:r>
                      </m:num>
                      <m:den>
                        <m:r>
                          <a:rPr lang="he-IL" sz="1100" b="0" i="1">
                            <a:latin typeface="Cambria Math" panose="02040503050406030204" pitchFamily="18" charset="0"/>
                          </a:rPr>
                          <m:t>400,000,000</m:t>
                        </m:r>
                      </m:den>
                    </m:f>
                    <m:r>
                      <a:rPr lang="he-IL" sz="1100" b="0" i="1">
                        <a:latin typeface="Cambria Math" panose="02040503050406030204" pitchFamily="18" charset="0"/>
                      </a:rPr>
                      <m:t>∗7.5%+</m:t>
                    </m:r>
                    <m:f>
                      <m:fPr>
                        <m:ctrlPr>
                          <a:rPr lang="he-IL" sz="1100" b="0" i="1">
                            <a:latin typeface="Cambria Math" panose="02040503050406030204" pitchFamily="18" charset="0"/>
                          </a:rPr>
                        </m:ctrlPr>
                      </m:fPr>
                      <m:num>
                        <m:r>
                          <a:rPr lang="he-IL" sz="1100" b="0" i="1">
                            <a:latin typeface="Cambria Math" panose="02040503050406030204" pitchFamily="18" charset="0"/>
                          </a:rPr>
                          <m:t>160,000,000</m:t>
                        </m:r>
                      </m:num>
                      <m:den>
                        <m:r>
                          <a:rPr lang="he-IL" sz="1100" b="0" i="1">
                            <a:latin typeface="Cambria Math" panose="02040503050406030204" pitchFamily="18" charset="0"/>
                          </a:rPr>
                          <m:t>400,000,000</m:t>
                        </m:r>
                      </m:den>
                    </m:f>
                    <m:r>
                      <a:rPr lang="en-US" sz="1100" b="0" i="1">
                        <a:latin typeface="Cambria Math" panose="02040503050406030204" pitchFamily="18" charset="0"/>
                      </a:rPr>
                      <m:t>∗</m:t>
                    </m:r>
                    <m:r>
                      <a:rPr lang="he-IL" sz="1100" b="0" i="1">
                        <a:latin typeface="Cambria Math" panose="02040503050406030204" pitchFamily="18" charset="0"/>
                      </a:rPr>
                      <m:t>4.6875%∗</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𝟓</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𝟗𝟒𝟒</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68" name="TextBox 67">
              <a:extLst>
                <a:ext uri="{FF2B5EF4-FFF2-40B4-BE49-F238E27FC236}">
                  <a16:creationId xmlns:a16="http://schemas.microsoft.com/office/drawing/2014/main" id="{17C48188-4E14-B14E-AB9C-C4278AAAD0B6}"/>
                </a:ext>
              </a:extLst>
            </xdr:cNvPr>
            <xdr:cNvSpPr txBox="1"/>
          </xdr:nvSpPr>
          <xdr:spPr>
            <a:xfrm>
              <a:off x="13519308809" y="39925387"/>
              <a:ext cx="5041935"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a:t>
              </a:r>
              <a:r>
                <a:rPr lang="he-IL" sz="1100" b="0" i="0">
                  <a:latin typeface="Cambria Math" panose="02040503050406030204" pitchFamily="18" charset="0"/>
                </a:rPr>
                <a:t>240,000,000/400,000,000∗7.5%</a:t>
              </a:r>
              <a:r>
                <a:rPr lang="en-US" sz="1100" b="0" i="0">
                  <a:latin typeface="Cambria Math" panose="02040503050406030204" pitchFamily="18" charset="0"/>
                </a:rPr>
                <a:t>+</a:t>
              </a:r>
              <a:r>
                <a:rPr lang="he-IL" sz="1100" b="0" i="0">
                  <a:latin typeface="Cambria Math" panose="02040503050406030204" pitchFamily="18" charset="0"/>
                </a:rPr>
                <a:t>160,000,000/400,000,000</a:t>
              </a:r>
              <a:r>
                <a:rPr lang="en-US" sz="1100" b="0" i="0">
                  <a:latin typeface="Cambria Math" panose="02040503050406030204" pitchFamily="18" charset="0"/>
                </a:rPr>
                <a:t>∗</a:t>
              </a:r>
              <a:r>
                <a:rPr lang="he-IL" sz="1100" b="0" i="0">
                  <a:latin typeface="Cambria Math" panose="02040503050406030204" pitchFamily="18" charset="0"/>
                </a:rPr>
                <a:t>4.6875%∗(1−23%)=</a:t>
              </a:r>
              <a:r>
                <a:rPr lang="he-IL" sz="1100" b="1" i="0">
                  <a:solidFill>
                    <a:srgbClr val="FF0000"/>
                  </a:solidFill>
                  <a:latin typeface="Cambria Math" panose="02040503050406030204" pitchFamily="18" charset="0"/>
                </a:rPr>
                <a:t>𝟓.𝟗𝟒𝟒%</a:t>
              </a:r>
              <a:endParaRPr lang="en-US" sz="1100" b="1"/>
            </a:p>
          </xdr:txBody>
        </xdr:sp>
      </mc:Fallback>
    </mc:AlternateContent>
    <xdr:clientData/>
  </xdr:oneCellAnchor>
  <xdr:oneCellAnchor>
    <xdr:from>
      <xdr:col>1</xdr:col>
      <xdr:colOff>435970</xdr:colOff>
      <xdr:row>994</xdr:row>
      <xdr:rowOff>113731</xdr:rowOff>
    </xdr:from>
    <xdr:ext cx="3193801"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C21AFF4-50C3-C444-9E0D-3944B0B77F7C}"/>
                </a:ext>
              </a:extLst>
            </xdr:cNvPr>
            <xdr:cNvSpPr txBox="1"/>
          </xdr:nvSpPr>
          <xdr:spPr>
            <a:xfrm>
              <a:off x="13520549429" y="48322931"/>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C21AFF4-50C3-C444-9E0D-3944B0B77F7C}"/>
                </a:ext>
              </a:extLst>
            </xdr:cNvPr>
            <xdr:cNvSpPr txBox="1"/>
          </xdr:nvSpPr>
          <xdr:spPr>
            <a:xfrm>
              <a:off x="13520549429" y="48322931"/>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2</xdr:col>
      <xdr:colOff>75822</xdr:colOff>
      <xdr:row>1010</xdr:row>
      <xdr:rowOff>40375</xdr:rowOff>
    </xdr:from>
    <xdr:ext cx="2351609" cy="347659"/>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6F8533-9F91-FC47-9EDD-80529142258D}"/>
                </a:ext>
              </a:extLst>
            </xdr:cNvPr>
            <xdr:cNvSpPr txBox="1"/>
          </xdr:nvSpPr>
          <xdr:spPr>
            <a:xfrm>
              <a:off x="13520926269" y="51500775"/>
              <a:ext cx="235160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FF0000"/>
                            </a:solidFill>
                            <a:latin typeface="Cambria Math" panose="02040503050406030204" pitchFamily="18" charset="0"/>
                          </a:rPr>
                          <m:t>70%∗10</m:t>
                        </m:r>
                      </m:num>
                      <m:den>
                        <m:r>
                          <a:rPr lang="en-US" sz="1100" b="0" i="1">
                            <a:solidFill>
                              <a:srgbClr val="00B050"/>
                            </a:solidFill>
                            <a:latin typeface="Cambria Math" panose="02040503050406030204" pitchFamily="18" charset="0"/>
                          </a:rPr>
                          <m:t>26%</m:t>
                        </m:r>
                        <m:r>
                          <a:rPr lang="en-US" sz="1100" b="0" i="1">
                            <a:latin typeface="Cambria Math" panose="02040503050406030204" pitchFamily="18" charset="0"/>
                          </a:rPr>
                          <m:t>−</m:t>
                        </m:r>
                        <m:r>
                          <a:rPr lang="en-US" sz="1100" b="1" i="1">
                            <a:solidFill>
                              <a:srgbClr val="7030A0"/>
                            </a:solidFill>
                            <a:latin typeface="Cambria Math" panose="02040503050406030204" pitchFamily="18" charset="0"/>
                          </a:rPr>
                          <m:t>𝟔</m:t>
                        </m:r>
                        <m:r>
                          <a:rPr lang="en-US" sz="1100" b="1" i="1">
                            <a:solidFill>
                              <a:srgbClr val="7030A0"/>
                            </a:solidFill>
                            <a:latin typeface="Cambria Math" panose="02040503050406030204" pitchFamily="18" charset="0"/>
                          </a:rPr>
                          <m:t>%</m:t>
                        </m:r>
                      </m:den>
                    </m:f>
                    <m:r>
                      <a:rPr lang="en-US" sz="1100" b="0" i="1">
                        <a:latin typeface="Cambria Math" panose="02040503050406030204" pitchFamily="18" charset="0"/>
                      </a:rPr>
                      <m:t>=35</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FA6F8533-9F91-FC47-9EDD-80529142258D}"/>
                </a:ext>
              </a:extLst>
            </xdr:cNvPr>
            <xdr:cNvSpPr txBox="1"/>
          </xdr:nvSpPr>
          <xdr:spPr>
            <a:xfrm>
              <a:off x="13520926269" y="51500775"/>
              <a:ext cx="2351609"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r>
                <a:rPr lang="en-US" sz="1100" b="0" i="0">
                  <a:solidFill>
                    <a:srgbClr val="FF0000"/>
                  </a:solidFill>
                  <a:latin typeface="Cambria Math" panose="02040503050406030204" pitchFamily="18" charset="0"/>
                </a:rPr>
                <a:t>70%∗10)/(</a:t>
              </a:r>
              <a:r>
                <a:rPr lang="en-US" sz="1100" b="0" i="0">
                  <a:solidFill>
                    <a:srgbClr val="00B050"/>
                  </a:solidFill>
                  <a:latin typeface="Cambria Math" panose="02040503050406030204" pitchFamily="18" charset="0"/>
                </a:rPr>
                <a:t>26%</a:t>
              </a:r>
              <a:r>
                <a:rPr lang="en-US" sz="1100" b="0" i="0">
                  <a:latin typeface="Cambria Math" panose="02040503050406030204" pitchFamily="18" charset="0"/>
                </a:rPr>
                <a:t>−</a:t>
              </a:r>
              <a:r>
                <a:rPr lang="en-US" sz="1100" b="1" i="0">
                  <a:solidFill>
                    <a:srgbClr val="7030A0"/>
                  </a:solidFill>
                  <a:latin typeface="Cambria Math" panose="02040503050406030204" pitchFamily="18" charset="0"/>
                </a:rPr>
                <a:t>𝟔%</a:t>
              </a:r>
              <a:r>
                <a:rPr lang="en-US" sz="1100" b="0" i="0">
                  <a:solidFill>
                    <a:srgbClr val="7030A0"/>
                  </a:solidFill>
                  <a:latin typeface="Cambria Math" panose="02040503050406030204" pitchFamily="18" charset="0"/>
                </a:rPr>
                <a:t>)</a:t>
              </a:r>
              <a:r>
                <a:rPr lang="en-US" sz="1100" b="0" i="0">
                  <a:latin typeface="Cambria Math" panose="02040503050406030204" pitchFamily="18" charset="0"/>
                </a:rPr>
                <a:t>=35</a:t>
              </a:r>
              <a:endParaRPr lang="en-US" sz="1100"/>
            </a:p>
          </xdr:txBody>
        </xdr:sp>
      </mc:Fallback>
    </mc:AlternateContent>
    <xdr:clientData/>
  </xdr:oneCellAnchor>
  <xdr:oneCellAnchor>
    <xdr:from>
      <xdr:col>2</xdr:col>
      <xdr:colOff>350672</xdr:colOff>
      <xdr:row>1016</xdr:row>
      <xdr:rowOff>30895</xdr:rowOff>
    </xdr:from>
    <xdr:ext cx="2218922"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FABF8FD8-12AF-AD40-8582-F4EFC47A7390}"/>
                </a:ext>
              </a:extLst>
            </xdr:cNvPr>
            <xdr:cNvSpPr txBox="1"/>
          </xdr:nvSpPr>
          <xdr:spPr>
            <a:xfrm>
              <a:off x="13520784106" y="52710495"/>
              <a:ext cx="22189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=35∗10,000=350,000</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FABF8FD8-12AF-AD40-8582-F4EFC47A7390}"/>
                </a:ext>
              </a:extLst>
            </xdr:cNvPr>
            <xdr:cNvSpPr txBox="1"/>
          </xdr:nvSpPr>
          <xdr:spPr>
            <a:xfrm>
              <a:off x="13520784106" y="52710495"/>
              <a:ext cx="22189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𝐸=35∗10,000=350,000</a:t>
              </a:r>
              <a:endParaRPr lang="en-US" sz="1100"/>
            </a:p>
          </xdr:txBody>
        </xdr:sp>
      </mc:Fallback>
    </mc:AlternateContent>
    <xdr:clientData/>
  </xdr:oneCellAnchor>
  <xdr:oneCellAnchor>
    <xdr:from>
      <xdr:col>2</xdr:col>
      <xdr:colOff>340886</xdr:colOff>
      <xdr:row>1026</xdr:row>
      <xdr:rowOff>30589</xdr:rowOff>
    </xdr:from>
    <xdr:ext cx="3128774" cy="172227"/>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710BB2C5-0CB6-DC4B-8E3E-8508172F167A}"/>
                </a:ext>
              </a:extLst>
            </xdr:cNvPr>
            <xdr:cNvSpPr txBox="1"/>
          </xdr:nvSpPr>
          <xdr:spPr>
            <a:xfrm>
              <a:off x="13519884040" y="54742189"/>
              <a:ext cx="3128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𝑉</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r>
                      <a:rPr lang="en-US" sz="1100" b="0" i="1">
                        <a:latin typeface="Cambria Math" panose="02040503050406030204" pitchFamily="18" charset="0"/>
                      </a:rPr>
                      <m:t>𝐸</m:t>
                    </m:r>
                    <m:r>
                      <a:rPr lang="en-US" sz="1100" b="0" i="1">
                        <a:latin typeface="Cambria Math" panose="02040503050406030204" pitchFamily="18" charset="0"/>
                      </a:rPr>
                      <m:t>=600,000+350,000=950,000</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710BB2C5-0CB6-DC4B-8E3E-8508172F167A}"/>
                </a:ext>
              </a:extLst>
            </xdr:cNvPr>
            <xdr:cNvSpPr txBox="1"/>
          </xdr:nvSpPr>
          <xdr:spPr>
            <a:xfrm>
              <a:off x="13519884040" y="54742189"/>
              <a:ext cx="3128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𝑉=𝐷+𝐸=600,000+350,000=950,000</a:t>
              </a:r>
              <a:endParaRPr lang="en-US" sz="1100"/>
            </a:p>
          </xdr:txBody>
        </xdr:sp>
      </mc:Fallback>
    </mc:AlternateContent>
    <xdr:clientData/>
  </xdr:oneCellAnchor>
  <xdr:oneCellAnchor>
    <xdr:from>
      <xdr:col>3</xdr:col>
      <xdr:colOff>571362</xdr:colOff>
      <xdr:row>1029</xdr:row>
      <xdr:rowOff>2463</xdr:rowOff>
    </xdr:from>
    <xdr:ext cx="2171534" cy="339388"/>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9D5B2A4B-D649-714E-B593-1E565B1776C1}"/>
                </a:ext>
              </a:extLst>
            </xdr:cNvPr>
            <xdr:cNvSpPr txBox="1"/>
          </xdr:nvSpPr>
          <xdr:spPr>
            <a:xfrm>
              <a:off x="13519785304" y="55323663"/>
              <a:ext cx="217153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350,000</m:t>
                        </m:r>
                      </m:num>
                      <m:den>
                        <m:r>
                          <a:rPr lang="en-US" sz="1100" b="0" i="1">
                            <a:latin typeface="Cambria Math" panose="02040503050406030204" pitchFamily="18" charset="0"/>
                          </a:rPr>
                          <m:t>950,000</m:t>
                        </m:r>
                      </m:den>
                    </m:f>
                    <m:r>
                      <a:rPr lang="en-US" sz="1100" b="0" i="1">
                        <a:latin typeface="Cambria Math" panose="02040503050406030204" pitchFamily="18" charset="0"/>
                      </a:rPr>
                      <m:t>=0.368421</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9D5B2A4B-D649-714E-B593-1E565B1776C1}"/>
                </a:ext>
              </a:extLst>
            </xdr:cNvPr>
            <xdr:cNvSpPr txBox="1"/>
          </xdr:nvSpPr>
          <xdr:spPr>
            <a:xfrm>
              <a:off x="13519785304" y="55323663"/>
              <a:ext cx="2171534" cy="3393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𝑤_𝐸=350,000/950,000=0.368421</a:t>
              </a:r>
              <a:endParaRPr lang="en-US" sz="1100"/>
            </a:p>
          </xdr:txBody>
        </xdr:sp>
      </mc:Fallback>
    </mc:AlternateContent>
    <xdr:clientData/>
  </xdr:oneCellAnchor>
  <xdr:oneCellAnchor>
    <xdr:from>
      <xdr:col>2</xdr:col>
      <xdr:colOff>539466</xdr:colOff>
      <xdr:row>1033</xdr:row>
      <xdr:rowOff>25068</xdr:rowOff>
    </xdr:from>
    <xdr:ext cx="292974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D80C14F4-5482-CE45-95FF-96B2817994BE}"/>
                </a:ext>
              </a:extLst>
            </xdr:cNvPr>
            <xdr:cNvSpPr txBox="1"/>
          </xdr:nvSpPr>
          <xdr:spPr>
            <a:xfrm>
              <a:off x="13519884489" y="56159068"/>
              <a:ext cx="292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=1−0.368421=0.631579</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D80C14F4-5482-CE45-95FF-96B2817994BE}"/>
                </a:ext>
              </a:extLst>
            </xdr:cNvPr>
            <xdr:cNvSpPr txBox="1"/>
          </xdr:nvSpPr>
          <xdr:spPr>
            <a:xfrm>
              <a:off x="13519884489" y="56159068"/>
              <a:ext cx="292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𝑤_𝐷=1−𝑤_𝐸=1−0.368421=0.631579</a:t>
              </a:r>
              <a:endParaRPr lang="en-US" sz="1100"/>
            </a:p>
          </xdr:txBody>
        </xdr:sp>
      </mc:Fallback>
    </mc:AlternateContent>
    <xdr:clientData/>
  </xdr:oneCellAnchor>
  <xdr:oneCellAnchor>
    <xdr:from>
      <xdr:col>2</xdr:col>
      <xdr:colOff>563065</xdr:colOff>
      <xdr:row>1036</xdr:row>
      <xdr:rowOff>34687</xdr:rowOff>
    </xdr:from>
    <xdr:ext cx="3193801"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10A08A52-EB6F-8846-A246-65AD47E5C00C}"/>
                </a:ext>
              </a:extLst>
            </xdr:cNvPr>
            <xdr:cNvSpPr txBox="1"/>
          </xdr:nvSpPr>
          <xdr:spPr>
            <a:xfrm>
              <a:off x="13519596834" y="56778287"/>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𝑤</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10A08A52-EB6F-8846-A246-65AD47E5C00C}"/>
                </a:ext>
              </a:extLst>
            </xdr:cNvPr>
            <xdr:cNvSpPr txBox="1"/>
          </xdr:nvSpPr>
          <xdr:spPr>
            <a:xfrm>
              <a:off x="13519596834" y="56778287"/>
              <a:ext cx="319380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𝑊𝐴𝐶𝐶=〖𝑤_𝐸∗𝑘〗_𝐸+𝑤_𝐷∗𝑘_𝐷</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704944</xdr:colOff>
      <xdr:row>1038</xdr:row>
      <xdr:rowOff>31561</xdr:rowOff>
    </xdr:from>
    <xdr:ext cx="4378502"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9B23C2-185A-E243-9A86-44BBA2F97910}"/>
                </a:ext>
              </a:extLst>
            </xdr:cNvPr>
            <xdr:cNvSpPr txBox="1"/>
          </xdr:nvSpPr>
          <xdr:spPr>
            <a:xfrm>
              <a:off x="13519921254" y="57181561"/>
              <a:ext cx="43785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=0.368421∗26%+0.631579∗4%∗</m:t>
                    </m:r>
                    <m:d>
                      <m:dPr>
                        <m:ctrlPr>
                          <a:rPr lang="he-IL" sz="1100" b="0" i="1">
                            <a:latin typeface="Cambria Math" panose="02040503050406030204" pitchFamily="18" charset="0"/>
                          </a:rPr>
                        </m:ctrlPr>
                      </m:dPr>
                      <m:e>
                        <m:r>
                          <a:rPr lang="he-IL" sz="1100" b="0" i="1">
                            <a:latin typeface="Cambria Math" panose="02040503050406030204" pitchFamily="18" charset="0"/>
                          </a:rPr>
                          <m:t>1−23%</m:t>
                        </m:r>
                      </m:e>
                    </m:d>
                    <m:r>
                      <a:rPr lang="he-IL" sz="1100" b="0" i="1">
                        <a:latin typeface="Cambria Math" panose="02040503050406030204" pitchFamily="18" charset="0"/>
                      </a:rPr>
                      <m:t>=11.52%</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5D9B23C2-185A-E243-9A86-44BBA2F97910}"/>
                </a:ext>
              </a:extLst>
            </xdr:cNvPr>
            <xdr:cNvSpPr txBox="1"/>
          </xdr:nvSpPr>
          <xdr:spPr>
            <a:xfrm>
              <a:off x="13519921254" y="57181561"/>
              <a:ext cx="43785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𝑊𝐴𝐶𝐶=0.368421∗26%+0.631579∗4%∗</a:t>
              </a:r>
              <a:r>
                <a:rPr lang="he-IL" sz="1100" b="0" i="0">
                  <a:latin typeface="Cambria Math" panose="02040503050406030204" pitchFamily="18" charset="0"/>
                </a:rPr>
                <a:t>(1−23%)=11.52%</a:t>
              </a:r>
              <a:endParaRPr lang="en-US" sz="1100"/>
            </a:p>
          </xdr:txBody>
        </xdr:sp>
      </mc:Fallback>
    </mc:AlternateContent>
    <xdr:clientData/>
  </xdr:oneCellAnchor>
  <xdr:oneCellAnchor>
    <xdr:from>
      <xdr:col>3</xdr:col>
      <xdr:colOff>213696</xdr:colOff>
      <xdr:row>1127</xdr:row>
      <xdr:rowOff>96218</xdr:rowOff>
    </xdr:from>
    <xdr:ext cx="2571868" cy="172098"/>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F481C1D4-0668-AD4B-B160-7730652A758A}"/>
                </a:ext>
              </a:extLst>
            </xdr:cNvPr>
            <xdr:cNvSpPr txBox="1"/>
          </xdr:nvSpPr>
          <xdr:spPr>
            <a:xfrm>
              <a:off x="13519742636" y="75381818"/>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F481C1D4-0668-AD4B-B160-7730652A758A}"/>
                </a:ext>
              </a:extLst>
            </xdr:cNvPr>
            <xdr:cNvSpPr txBox="1"/>
          </xdr:nvSpPr>
          <xdr:spPr>
            <a:xfrm>
              <a:off x="13519742636" y="75381818"/>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oneCellAnchor>
    <xdr:from>
      <xdr:col>3</xdr:col>
      <xdr:colOff>189552</xdr:colOff>
      <xdr:row>1131</xdr:row>
      <xdr:rowOff>18956</xdr:rowOff>
    </xdr:from>
    <xdr:ext cx="2571868" cy="172098"/>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05BA862C-4156-964E-BE75-52AEA04F6F43}"/>
                </a:ext>
              </a:extLst>
            </xdr:cNvPr>
            <xdr:cNvSpPr txBox="1"/>
          </xdr:nvSpPr>
          <xdr:spPr>
            <a:xfrm>
              <a:off x="13519766780" y="76117356"/>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he-IL" sz="1100" b="0" i="1">
                        <a:latin typeface="Cambria Math" panose="02040503050406030204" pitchFamily="18" charset="0"/>
                      </a:rPr>
                      <m:t>5%+</m:t>
                    </m:r>
                    <m:d>
                      <m:dPr>
                        <m:ctrlPr>
                          <a:rPr lang="he-IL" sz="1100" b="0" i="1">
                            <a:latin typeface="Cambria Math" panose="02040503050406030204" pitchFamily="18" charset="0"/>
                          </a:rPr>
                        </m:ctrlPr>
                      </m:dPr>
                      <m:e>
                        <m:r>
                          <a:rPr lang="he-IL" sz="1100" b="0" i="1">
                            <a:latin typeface="Cambria Math" panose="02040503050406030204" pitchFamily="18" charset="0"/>
                          </a:rPr>
                          <m:t>15%−5%</m:t>
                        </m:r>
                      </m:e>
                    </m:d>
                    <m:r>
                      <a:rPr lang="he-IL" sz="1100" b="0" i="1">
                        <a:latin typeface="Cambria Math" panose="02040503050406030204" pitchFamily="18" charset="0"/>
                      </a:rPr>
                      <m:t>∗2.7=</m:t>
                    </m:r>
                    <m:r>
                      <a:rPr lang="he-IL" sz="1100" b="0" i="1">
                        <a:solidFill>
                          <a:srgbClr val="FF0000"/>
                        </a:solidFill>
                        <a:latin typeface="Cambria Math" panose="02040503050406030204" pitchFamily="18" charset="0"/>
                      </a:rPr>
                      <m:t>32%</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05BA862C-4156-964E-BE75-52AEA04F6F43}"/>
                </a:ext>
              </a:extLst>
            </xdr:cNvPr>
            <xdr:cNvSpPr txBox="1"/>
          </xdr:nvSpPr>
          <xdr:spPr>
            <a:xfrm>
              <a:off x="13519766780" y="76117356"/>
              <a:ext cx="25718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a:t>
              </a:r>
              <a:r>
                <a:rPr lang="he-IL" sz="1100" b="0" i="0">
                  <a:latin typeface="Cambria Math" panose="02040503050406030204" pitchFamily="18" charset="0"/>
                </a:rPr>
                <a:t>5%+(15%−5%)∗2.7=</a:t>
              </a:r>
              <a:r>
                <a:rPr lang="he-IL" sz="1100" b="0" i="0">
                  <a:solidFill>
                    <a:srgbClr val="FF0000"/>
                  </a:solidFill>
                  <a:latin typeface="Cambria Math" panose="02040503050406030204" pitchFamily="18" charset="0"/>
                </a:rPr>
                <a:t>32%</a:t>
              </a:r>
              <a:endParaRPr lang="en-US" sz="1100"/>
            </a:p>
          </xdr:txBody>
        </xdr:sp>
      </mc:Fallback>
    </mc:AlternateContent>
    <xdr:clientData/>
  </xdr:oneCellAnchor>
  <xdr:oneCellAnchor>
    <xdr:from>
      <xdr:col>5</xdr:col>
      <xdr:colOff>549231</xdr:colOff>
      <xdr:row>1138</xdr:row>
      <xdr:rowOff>1923</xdr:rowOff>
    </xdr:from>
    <xdr:ext cx="1688176" cy="344582"/>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66935DF5-7625-FA42-AC30-67435F0E0377}"/>
                </a:ext>
              </a:extLst>
            </xdr:cNvPr>
            <xdr:cNvSpPr txBox="1"/>
          </xdr:nvSpPr>
          <xdr:spPr>
            <a:xfrm>
              <a:off x="13518627093" y="77522723"/>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79" name="TextBox 78">
              <a:extLst>
                <a:ext uri="{FF2B5EF4-FFF2-40B4-BE49-F238E27FC236}">
                  <a16:creationId xmlns:a16="http://schemas.microsoft.com/office/drawing/2014/main" id="{66935DF5-7625-FA42-AC30-67435F0E0377}"/>
                </a:ext>
              </a:extLst>
            </xdr:cNvPr>
            <xdr:cNvSpPr txBox="1"/>
          </xdr:nvSpPr>
          <xdr:spPr>
            <a:xfrm>
              <a:off x="13518627093" y="77522723"/>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a:t>
              </a:r>
              <a:endParaRPr lang="en-US" sz="1100"/>
            </a:p>
          </xdr:txBody>
        </xdr:sp>
      </mc:Fallback>
    </mc:AlternateContent>
    <xdr:clientData/>
  </xdr:oneCellAnchor>
  <xdr:oneCellAnchor>
    <xdr:from>
      <xdr:col>0</xdr:col>
      <xdr:colOff>9658</xdr:colOff>
      <xdr:row>1145</xdr:row>
      <xdr:rowOff>77022</xdr:rowOff>
    </xdr:from>
    <xdr:ext cx="2274410" cy="32464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06D7177-7BA0-C542-9A57-F8DF01FCE776}"/>
                </a:ext>
              </a:extLst>
            </xdr:cNvPr>
            <xdr:cNvSpPr txBox="1"/>
          </xdr:nvSpPr>
          <xdr:spPr>
            <a:xfrm>
              <a:off x="13522720632" y="79020222"/>
              <a:ext cx="227441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32%</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1+32%</m:t>
                        </m:r>
                      </m:e>
                    </m:d>
                    <m:r>
                      <a:rPr lang="en-US" sz="1100" b="0" i="1">
                        <a:latin typeface="Cambria Math" panose="02040503050406030204" pitchFamily="18" charset="0"/>
                      </a:rPr>
                      <m:t>=41.25</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06D7177-7BA0-C542-9A57-F8DF01FCE776}"/>
                </a:ext>
              </a:extLst>
            </xdr:cNvPr>
            <xdr:cNvSpPr txBox="1"/>
          </xdr:nvSpPr>
          <xdr:spPr>
            <a:xfrm>
              <a:off x="13522720632" y="79020222"/>
              <a:ext cx="2274410"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𝑃_𝑆=10/(32%)∗(1+32%)=41.25</a:t>
              </a:r>
              <a:endParaRPr lang="en-US" sz="1100"/>
            </a:p>
          </xdr:txBody>
        </xdr:sp>
      </mc:Fallback>
    </mc:AlternateContent>
    <xdr:clientData/>
  </xdr:oneCellAnchor>
  <xdr:oneCellAnchor>
    <xdr:from>
      <xdr:col>1</xdr:col>
      <xdr:colOff>734066</xdr:colOff>
      <xdr:row>1149</xdr:row>
      <xdr:rowOff>106898</xdr:rowOff>
    </xdr:from>
    <xdr:ext cx="3015041"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626636DA-E32F-A845-B915-192CFF6A2658}"/>
                </a:ext>
              </a:extLst>
            </xdr:cNvPr>
            <xdr:cNvSpPr txBox="1"/>
          </xdr:nvSpPr>
          <xdr:spPr>
            <a:xfrm>
              <a:off x="13520430093" y="79862898"/>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=41.25∗5,000=</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oMath>
                </m:oMathPara>
              </a14:m>
              <a:endParaRPr lang="en-US" sz="1100" b="1"/>
            </a:p>
          </xdr:txBody>
        </xdr:sp>
      </mc:Choice>
      <mc:Fallback xmlns="">
        <xdr:sp macro="" textlink="">
          <xdr:nvSpPr>
            <xdr:cNvPr id="81" name="TextBox 80">
              <a:extLst>
                <a:ext uri="{FF2B5EF4-FFF2-40B4-BE49-F238E27FC236}">
                  <a16:creationId xmlns:a16="http://schemas.microsoft.com/office/drawing/2014/main" id="{626636DA-E32F-A845-B915-192CFF6A2658}"/>
                </a:ext>
              </a:extLst>
            </xdr:cNvPr>
            <xdr:cNvSpPr txBox="1"/>
          </xdr:nvSpPr>
          <xdr:spPr>
            <a:xfrm>
              <a:off x="13520430093" y="79862898"/>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𝐸=41.25∗5,000=</a:t>
              </a:r>
              <a:r>
                <a:rPr lang="en-US" sz="1100" b="1" i="0">
                  <a:solidFill>
                    <a:srgbClr val="0070C0"/>
                  </a:solidFill>
                  <a:latin typeface="Cambria Math" panose="02040503050406030204" pitchFamily="18" charset="0"/>
                </a:rPr>
                <a:t>𝟐𝟎𝟔,𝟐𝟓𝟎</a:t>
              </a:r>
              <a:endParaRPr lang="en-US" sz="1100" b="1"/>
            </a:p>
          </xdr:txBody>
        </xdr:sp>
      </mc:Fallback>
    </mc:AlternateContent>
    <xdr:clientData/>
  </xdr:oneCellAnchor>
  <xdr:oneCellAnchor>
    <xdr:from>
      <xdr:col>3</xdr:col>
      <xdr:colOff>104254</xdr:colOff>
      <xdr:row>1153</xdr:row>
      <xdr:rowOff>49852</xdr:rowOff>
    </xdr:from>
    <xdr:ext cx="3015041"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32956198-187F-EC4A-9134-835FBEED3BA2}"/>
                </a:ext>
              </a:extLst>
            </xdr:cNvPr>
            <xdr:cNvSpPr txBox="1"/>
          </xdr:nvSpPr>
          <xdr:spPr>
            <a:xfrm>
              <a:off x="13519408905" y="80618652"/>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=95∗1,000=</m:t>
                    </m:r>
                    <m:r>
                      <a:rPr lang="en-US" sz="1100" b="1" i="1">
                        <a:solidFill>
                          <a:srgbClr val="00B050"/>
                        </a:solidFill>
                        <a:latin typeface="Cambria Math" panose="02040503050406030204" pitchFamily="18" charset="0"/>
                      </a:rPr>
                      <m:t>𝟗𝟓</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𝟎𝟎𝟎</m:t>
                    </m:r>
                  </m:oMath>
                </m:oMathPara>
              </a14:m>
              <a:endParaRPr lang="en-US" sz="1100" b="1"/>
            </a:p>
          </xdr:txBody>
        </xdr:sp>
      </mc:Choice>
      <mc:Fallback xmlns="">
        <xdr:sp macro="" textlink="">
          <xdr:nvSpPr>
            <xdr:cNvPr id="82" name="TextBox 81">
              <a:extLst>
                <a:ext uri="{FF2B5EF4-FFF2-40B4-BE49-F238E27FC236}">
                  <a16:creationId xmlns:a16="http://schemas.microsoft.com/office/drawing/2014/main" id="{32956198-187F-EC4A-9134-835FBEED3BA2}"/>
                </a:ext>
              </a:extLst>
            </xdr:cNvPr>
            <xdr:cNvSpPr txBox="1"/>
          </xdr:nvSpPr>
          <xdr:spPr>
            <a:xfrm>
              <a:off x="13519408905" y="80618652"/>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𝐷=95∗1,000=</a:t>
              </a:r>
              <a:r>
                <a:rPr lang="en-US" sz="1100" b="1" i="0">
                  <a:solidFill>
                    <a:srgbClr val="00B050"/>
                  </a:solidFill>
                  <a:latin typeface="Cambria Math" panose="02040503050406030204" pitchFamily="18" charset="0"/>
                </a:rPr>
                <a:t>𝟗𝟓,𝟎𝟎𝟎</a:t>
              </a:r>
              <a:endParaRPr lang="en-US" sz="1100" b="1"/>
            </a:p>
          </xdr:txBody>
        </xdr:sp>
      </mc:Fallback>
    </mc:AlternateContent>
    <xdr:clientData/>
  </xdr:oneCellAnchor>
  <xdr:oneCellAnchor>
    <xdr:from>
      <xdr:col>3</xdr:col>
      <xdr:colOff>75821</xdr:colOff>
      <xdr:row>1160</xdr:row>
      <xdr:rowOff>30896</xdr:rowOff>
    </xdr:from>
    <xdr:ext cx="301504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ECEB99DF-9FF3-8341-8B81-92682DA03916}"/>
                </a:ext>
              </a:extLst>
            </xdr:cNvPr>
            <xdr:cNvSpPr txBox="1"/>
          </xdr:nvSpPr>
          <xdr:spPr>
            <a:xfrm>
              <a:off x="13519437338" y="82022096"/>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1">
                        <a:latin typeface="Cambria Math" panose="02040503050406030204" pitchFamily="18" charset="0"/>
                      </a:rPr>
                      <m:t>V</m:t>
                    </m:r>
                    <m:r>
                      <a:rPr lang="en-US" sz="1100" b="0" i="1">
                        <a:latin typeface="Cambria Math" panose="02040503050406030204" pitchFamily="18" charset="0"/>
                      </a:rPr>
                      <m:t>=</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r>
                      <a:rPr lang="en-US" sz="1100" b="0" i="1">
                        <a:latin typeface="Cambria Math" panose="02040503050406030204" pitchFamily="18" charset="0"/>
                      </a:rPr>
                      <m:t>+</m:t>
                    </m:r>
                    <m:r>
                      <a:rPr lang="en-US" sz="1100" b="1" i="1">
                        <a:solidFill>
                          <a:srgbClr val="00B050"/>
                        </a:solidFill>
                        <a:latin typeface="Cambria Math" panose="02040503050406030204" pitchFamily="18" charset="0"/>
                      </a:rPr>
                      <m:t>𝟗𝟓</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𝟎𝟎𝟎</m:t>
                    </m:r>
                    <m:r>
                      <a:rPr lang="en-US" sz="1100" b="0" i="1">
                        <a:latin typeface="Cambria Math" panose="02040503050406030204" pitchFamily="18" charset="0"/>
                      </a:rPr>
                      <m:t>=</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ECEB99DF-9FF3-8341-8B81-92682DA03916}"/>
                </a:ext>
              </a:extLst>
            </xdr:cNvPr>
            <xdr:cNvSpPr txBox="1"/>
          </xdr:nvSpPr>
          <xdr:spPr>
            <a:xfrm>
              <a:off x="13519437338" y="82022096"/>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V=</a:t>
              </a:r>
              <a:r>
                <a:rPr lang="en-US" sz="1100" b="1" i="0">
                  <a:solidFill>
                    <a:srgbClr val="0070C0"/>
                  </a:solidFill>
                  <a:latin typeface="Cambria Math" panose="02040503050406030204" pitchFamily="18" charset="0"/>
                </a:rPr>
                <a:t>𝟐𝟎𝟔,𝟐𝟓𝟎</a:t>
              </a:r>
              <a:r>
                <a:rPr lang="en-US" sz="1100" b="0" i="0">
                  <a:latin typeface="Cambria Math" panose="02040503050406030204" pitchFamily="18" charset="0"/>
                </a:rPr>
                <a:t>+</a:t>
              </a:r>
              <a:r>
                <a:rPr lang="en-US" sz="1100" b="1" i="0">
                  <a:solidFill>
                    <a:srgbClr val="00B050"/>
                  </a:solidFill>
                  <a:latin typeface="Cambria Math" panose="02040503050406030204" pitchFamily="18" charset="0"/>
                </a:rPr>
                <a:t>𝟗𝟓,𝟎𝟎𝟎</a:t>
              </a:r>
              <a:r>
                <a:rPr lang="en-US" sz="1100" b="0" i="0">
                  <a:latin typeface="Cambria Math" panose="02040503050406030204" pitchFamily="18" charset="0"/>
                </a:rPr>
                <a:t>=</a:t>
              </a:r>
              <a:endParaRPr lang="en-US" sz="1100"/>
            </a:p>
          </xdr:txBody>
        </xdr:sp>
      </mc:Fallback>
    </mc:AlternateContent>
    <xdr:clientData/>
  </xdr:oneCellAnchor>
  <xdr:twoCellAnchor>
    <xdr:from>
      <xdr:col>2</xdr:col>
      <xdr:colOff>673971</xdr:colOff>
      <xdr:row>936</xdr:row>
      <xdr:rowOff>178808</xdr:rowOff>
    </xdr:from>
    <xdr:to>
      <xdr:col>3</xdr:col>
      <xdr:colOff>55019</xdr:colOff>
      <xdr:row>941</xdr:row>
      <xdr:rowOff>9169</xdr:rowOff>
    </xdr:to>
    <xdr:sp macro="" textlink="">
      <xdr:nvSpPr>
        <xdr:cNvPr id="84" name="Left Brace 83">
          <a:extLst>
            <a:ext uri="{FF2B5EF4-FFF2-40B4-BE49-F238E27FC236}">
              <a16:creationId xmlns:a16="http://schemas.microsoft.com/office/drawing/2014/main" id="{ABB24DE4-8732-AF41-A3F3-73C9C36DE74A}"/>
            </a:ext>
          </a:extLst>
        </xdr:cNvPr>
        <xdr:cNvSpPr/>
      </xdr:nvSpPr>
      <xdr:spPr>
        <a:xfrm>
          <a:off x="13522473181" y="36602408"/>
          <a:ext cx="206548" cy="84636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671808</xdr:colOff>
      <xdr:row>952</xdr:row>
      <xdr:rowOff>107432</xdr:rowOff>
    </xdr:from>
    <xdr:to>
      <xdr:col>5</xdr:col>
      <xdr:colOff>565623</xdr:colOff>
      <xdr:row>955</xdr:row>
      <xdr:rowOff>144110</xdr:rowOff>
    </xdr:to>
    <xdr:sp macro="" textlink="">
      <xdr:nvSpPr>
        <xdr:cNvPr id="85" name="Frame 84">
          <a:extLst>
            <a:ext uri="{FF2B5EF4-FFF2-40B4-BE49-F238E27FC236}">
              <a16:creationId xmlns:a16="http://schemas.microsoft.com/office/drawing/2014/main" id="{065E0A0A-4AD1-DC48-9012-525686162367}"/>
            </a:ext>
          </a:extLst>
        </xdr:cNvPr>
        <xdr:cNvSpPr/>
      </xdr:nvSpPr>
      <xdr:spPr>
        <a:xfrm>
          <a:off x="13478696217" y="185019432"/>
          <a:ext cx="818375" cy="646278"/>
        </a:xfrm>
        <a:prstGeom prst="frame">
          <a:avLst>
            <a:gd name="adj1" fmla="val 35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5</xdr:col>
      <xdr:colOff>458484</xdr:colOff>
      <xdr:row>955</xdr:row>
      <xdr:rowOff>155884</xdr:rowOff>
    </xdr:from>
    <xdr:to>
      <xdr:col>5</xdr:col>
      <xdr:colOff>573105</xdr:colOff>
      <xdr:row>956</xdr:row>
      <xdr:rowOff>192563</xdr:rowOff>
    </xdr:to>
    <xdr:sp macro="" textlink="">
      <xdr:nvSpPr>
        <xdr:cNvPr id="86" name="Down Arrow 85">
          <a:extLst>
            <a:ext uri="{FF2B5EF4-FFF2-40B4-BE49-F238E27FC236}">
              <a16:creationId xmlns:a16="http://schemas.microsoft.com/office/drawing/2014/main" id="{45623B44-BB30-9F41-9535-FCC210DBC25A}"/>
            </a:ext>
          </a:extLst>
        </xdr:cNvPr>
        <xdr:cNvSpPr/>
      </xdr:nvSpPr>
      <xdr:spPr>
        <a:xfrm>
          <a:off x="13520291395" y="40440284"/>
          <a:ext cx="114621" cy="2398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728990</xdr:colOff>
      <xdr:row>955</xdr:row>
      <xdr:rowOff>187978</xdr:rowOff>
    </xdr:from>
    <xdr:to>
      <xdr:col>4</xdr:col>
      <xdr:colOff>4585</xdr:colOff>
      <xdr:row>957</xdr:row>
      <xdr:rowOff>22925</xdr:rowOff>
    </xdr:to>
    <xdr:sp macro="" textlink="">
      <xdr:nvSpPr>
        <xdr:cNvPr id="87" name="Down Arrow 86">
          <a:extLst>
            <a:ext uri="{FF2B5EF4-FFF2-40B4-BE49-F238E27FC236}">
              <a16:creationId xmlns:a16="http://schemas.microsoft.com/office/drawing/2014/main" id="{E551A1DC-6A75-D24F-8D4A-587F9B713D11}"/>
            </a:ext>
          </a:extLst>
        </xdr:cNvPr>
        <xdr:cNvSpPr/>
      </xdr:nvSpPr>
      <xdr:spPr>
        <a:xfrm>
          <a:off x="13521685415" y="40472378"/>
          <a:ext cx="113795" cy="24134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294640</xdr:colOff>
      <xdr:row>952</xdr:row>
      <xdr:rowOff>169640</xdr:rowOff>
    </xdr:from>
    <xdr:to>
      <xdr:col>4</xdr:col>
      <xdr:colOff>111760</xdr:colOff>
      <xdr:row>955</xdr:row>
      <xdr:rowOff>105451</xdr:rowOff>
    </xdr:to>
    <xdr:sp macro="" textlink="">
      <xdr:nvSpPr>
        <xdr:cNvPr id="88" name="Frame 87">
          <a:extLst>
            <a:ext uri="{FF2B5EF4-FFF2-40B4-BE49-F238E27FC236}">
              <a16:creationId xmlns:a16="http://schemas.microsoft.com/office/drawing/2014/main" id="{E703D1E0-C9B5-5942-B20E-2927B74BE527}"/>
            </a:ext>
          </a:extLst>
        </xdr:cNvPr>
        <xdr:cNvSpPr/>
      </xdr:nvSpPr>
      <xdr:spPr>
        <a:xfrm>
          <a:off x="13480074640" y="185081640"/>
          <a:ext cx="843280" cy="545411"/>
        </a:xfrm>
        <a:prstGeom prst="frame">
          <a:avLst>
            <a:gd name="adj1" fmla="val 148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1</xdr:col>
      <xdr:colOff>128375</xdr:colOff>
      <xdr:row>954</xdr:row>
      <xdr:rowOff>137545</xdr:rowOff>
    </xdr:from>
    <xdr:to>
      <xdr:col>1</xdr:col>
      <xdr:colOff>242996</xdr:colOff>
      <xdr:row>955</xdr:row>
      <xdr:rowOff>174224</xdr:rowOff>
    </xdr:to>
    <xdr:sp macro="" textlink="">
      <xdr:nvSpPr>
        <xdr:cNvPr id="89" name="Down Arrow 88">
          <a:extLst>
            <a:ext uri="{FF2B5EF4-FFF2-40B4-BE49-F238E27FC236}">
              <a16:creationId xmlns:a16="http://schemas.microsoft.com/office/drawing/2014/main" id="{15AE4FC9-74A4-4647-B57C-4BFE4762B3E4}"/>
            </a:ext>
          </a:extLst>
        </xdr:cNvPr>
        <xdr:cNvSpPr/>
      </xdr:nvSpPr>
      <xdr:spPr>
        <a:xfrm>
          <a:off x="13523936204" y="40218745"/>
          <a:ext cx="114621" cy="2398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767795</xdr:colOff>
      <xdr:row>1104</xdr:row>
      <xdr:rowOff>164182</xdr:rowOff>
    </xdr:from>
    <xdr:to>
      <xdr:col>6</xdr:col>
      <xdr:colOff>231787</xdr:colOff>
      <xdr:row>1106</xdr:row>
      <xdr:rowOff>77263</xdr:rowOff>
    </xdr:to>
    <xdr:cxnSp macro="">
      <xdr:nvCxnSpPr>
        <xdr:cNvPr id="90" name="Straight Arrow Connector 89">
          <a:extLst>
            <a:ext uri="{FF2B5EF4-FFF2-40B4-BE49-F238E27FC236}">
              <a16:creationId xmlns:a16="http://schemas.microsoft.com/office/drawing/2014/main" id="{F4A794E6-EEDA-1742-B335-49A41E99F1BD}"/>
            </a:ext>
          </a:extLst>
        </xdr:cNvPr>
        <xdr:cNvCxnSpPr/>
      </xdr:nvCxnSpPr>
      <xdr:spPr>
        <a:xfrm flipH="1">
          <a:off x="13519807213" y="70750782"/>
          <a:ext cx="289492" cy="3194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265589</xdr:colOff>
      <xdr:row>1104</xdr:row>
      <xdr:rowOff>169011</xdr:rowOff>
    </xdr:from>
    <xdr:to>
      <xdr:col>5</xdr:col>
      <xdr:colOff>415284</xdr:colOff>
      <xdr:row>1106</xdr:row>
      <xdr:rowOff>72434</xdr:rowOff>
    </xdr:to>
    <xdr:cxnSp macro="">
      <xdr:nvCxnSpPr>
        <xdr:cNvPr id="91" name="Straight Arrow Connector 90">
          <a:extLst>
            <a:ext uri="{FF2B5EF4-FFF2-40B4-BE49-F238E27FC236}">
              <a16:creationId xmlns:a16="http://schemas.microsoft.com/office/drawing/2014/main" id="{98A2D76C-0437-5044-B95C-CD7C50873335}"/>
            </a:ext>
          </a:extLst>
        </xdr:cNvPr>
        <xdr:cNvCxnSpPr/>
      </xdr:nvCxnSpPr>
      <xdr:spPr>
        <a:xfrm>
          <a:off x="13520449216" y="70755611"/>
          <a:ext cx="149695" cy="30982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410456</xdr:colOff>
      <xdr:row>1118</xdr:row>
      <xdr:rowOff>19315</xdr:rowOff>
    </xdr:from>
    <xdr:to>
      <xdr:col>0</xdr:col>
      <xdr:colOff>569809</xdr:colOff>
      <xdr:row>1118</xdr:row>
      <xdr:rowOff>188327</xdr:rowOff>
    </xdr:to>
    <xdr:sp macro="" textlink="">
      <xdr:nvSpPr>
        <xdr:cNvPr id="92" name="Summing Junction 91">
          <a:extLst>
            <a:ext uri="{FF2B5EF4-FFF2-40B4-BE49-F238E27FC236}">
              <a16:creationId xmlns:a16="http://schemas.microsoft.com/office/drawing/2014/main" id="{653FB5CB-ED93-484A-95E1-2048D102B5B0}"/>
            </a:ext>
          </a:extLst>
        </xdr:cNvPr>
        <xdr:cNvSpPr/>
      </xdr:nvSpPr>
      <xdr:spPr>
        <a:xfrm>
          <a:off x="13524434891" y="73476115"/>
          <a:ext cx="159353" cy="169012"/>
        </a:xfrm>
        <a:prstGeom prst="flowChartSummingJunction">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772624</xdr:colOff>
      <xdr:row>1112</xdr:row>
      <xdr:rowOff>169012</xdr:rowOff>
    </xdr:from>
    <xdr:to>
      <xdr:col>6</xdr:col>
      <xdr:colOff>236616</xdr:colOff>
      <xdr:row>1114</xdr:row>
      <xdr:rowOff>82092</xdr:rowOff>
    </xdr:to>
    <xdr:cxnSp macro="">
      <xdr:nvCxnSpPr>
        <xdr:cNvPr id="93" name="Straight Arrow Connector 92">
          <a:extLst>
            <a:ext uri="{FF2B5EF4-FFF2-40B4-BE49-F238E27FC236}">
              <a16:creationId xmlns:a16="http://schemas.microsoft.com/office/drawing/2014/main" id="{7BB7B220-9511-CB4B-AE66-01AE1A2D02FA}"/>
            </a:ext>
          </a:extLst>
        </xdr:cNvPr>
        <xdr:cNvCxnSpPr/>
      </xdr:nvCxnSpPr>
      <xdr:spPr>
        <a:xfrm flipH="1">
          <a:off x="13519802384" y="72393912"/>
          <a:ext cx="289492" cy="3321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357338</xdr:colOff>
      <xdr:row>1113</xdr:row>
      <xdr:rowOff>4828</xdr:rowOff>
    </xdr:from>
    <xdr:to>
      <xdr:col>5</xdr:col>
      <xdr:colOff>507033</xdr:colOff>
      <xdr:row>1114</xdr:row>
      <xdr:rowOff>111064</xdr:rowOff>
    </xdr:to>
    <xdr:cxnSp macro="">
      <xdr:nvCxnSpPr>
        <xdr:cNvPr id="94" name="Straight Arrow Connector 93">
          <a:extLst>
            <a:ext uri="{FF2B5EF4-FFF2-40B4-BE49-F238E27FC236}">
              <a16:creationId xmlns:a16="http://schemas.microsoft.com/office/drawing/2014/main" id="{3909CCE4-CE09-F84B-A9E6-0FCD84A6653F}"/>
            </a:ext>
          </a:extLst>
        </xdr:cNvPr>
        <xdr:cNvCxnSpPr/>
      </xdr:nvCxnSpPr>
      <xdr:spPr>
        <a:xfrm>
          <a:off x="13520357467" y="72445628"/>
          <a:ext cx="149695" cy="3094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265589</xdr:colOff>
      <xdr:row>1128</xdr:row>
      <xdr:rowOff>91749</xdr:rowOff>
    </xdr:from>
    <xdr:to>
      <xdr:col>5</xdr:col>
      <xdr:colOff>507034</xdr:colOff>
      <xdr:row>1130</xdr:row>
      <xdr:rowOff>197985</xdr:rowOff>
    </xdr:to>
    <xdr:cxnSp macro="">
      <xdr:nvCxnSpPr>
        <xdr:cNvPr id="95" name="Straight Arrow Connector 94">
          <a:extLst>
            <a:ext uri="{FF2B5EF4-FFF2-40B4-BE49-F238E27FC236}">
              <a16:creationId xmlns:a16="http://schemas.microsoft.com/office/drawing/2014/main" id="{59BB6094-E7ED-3542-A886-DBB64658B787}"/>
            </a:ext>
          </a:extLst>
        </xdr:cNvPr>
        <xdr:cNvCxnSpPr/>
      </xdr:nvCxnSpPr>
      <xdr:spPr>
        <a:xfrm flipH="1">
          <a:off x="13520357466" y="75580549"/>
          <a:ext cx="241445" cy="51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598784</xdr:colOff>
      <xdr:row>1128</xdr:row>
      <xdr:rowOff>91749</xdr:rowOff>
    </xdr:from>
    <xdr:to>
      <xdr:col>5</xdr:col>
      <xdr:colOff>14487</xdr:colOff>
      <xdr:row>1130</xdr:row>
      <xdr:rowOff>197985</xdr:rowOff>
    </xdr:to>
    <xdr:cxnSp macro="">
      <xdr:nvCxnSpPr>
        <xdr:cNvPr id="96" name="Straight Arrow Connector 95">
          <a:extLst>
            <a:ext uri="{FF2B5EF4-FFF2-40B4-BE49-F238E27FC236}">
              <a16:creationId xmlns:a16="http://schemas.microsoft.com/office/drawing/2014/main" id="{B7D7A821-86DD-4044-9408-8B0F5EE0682C}"/>
            </a:ext>
          </a:extLst>
        </xdr:cNvPr>
        <xdr:cNvCxnSpPr/>
      </xdr:nvCxnSpPr>
      <xdr:spPr>
        <a:xfrm flipH="1">
          <a:off x="13520850013" y="75580549"/>
          <a:ext cx="241203" cy="51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212472</xdr:colOff>
      <xdr:row>1128</xdr:row>
      <xdr:rowOff>96578</xdr:rowOff>
    </xdr:from>
    <xdr:to>
      <xdr:col>4</xdr:col>
      <xdr:colOff>453917</xdr:colOff>
      <xdr:row>1131</xdr:row>
      <xdr:rowOff>0</xdr:rowOff>
    </xdr:to>
    <xdr:cxnSp macro="">
      <xdr:nvCxnSpPr>
        <xdr:cNvPr id="97" name="Straight Arrow Connector 96">
          <a:extLst>
            <a:ext uri="{FF2B5EF4-FFF2-40B4-BE49-F238E27FC236}">
              <a16:creationId xmlns:a16="http://schemas.microsoft.com/office/drawing/2014/main" id="{11CB3651-9C94-0041-B86E-A6732491EBD7}"/>
            </a:ext>
          </a:extLst>
        </xdr:cNvPr>
        <xdr:cNvCxnSpPr/>
      </xdr:nvCxnSpPr>
      <xdr:spPr>
        <a:xfrm flipH="1">
          <a:off x="13521236083" y="75585378"/>
          <a:ext cx="241445" cy="5130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738821</xdr:colOff>
      <xdr:row>1128</xdr:row>
      <xdr:rowOff>67604</xdr:rowOff>
    </xdr:from>
    <xdr:to>
      <xdr:col>4</xdr:col>
      <xdr:colOff>62776</xdr:colOff>
      <xdr:row>1131</xdr:row>
      <xdr:rowOff>24144</xdr:rowOff>
    </xdr:to>
    <xdr:cxnSp macro="">
      <xdr:nvCxnSpPr>
        <xdr:cNvPr id="98" name="Straight Arrow Connector 97">
          <a:extLst>
            <a:ext uri="{FF2B5EF4-FFF2-40B4-BE49-F238E27FC236}">
              <a16:creationId xmlns:a16="http://schemas.microsoft.com/office/drawing/2014/main" id="{B881ACB7-92A1-F34C-8218-0619F662D213}"/>
            </a:ext>
          </a:extLst>
        </xdr:cNvPr>
        <xdr:cNvCxnSpPr/>
      </xdr:nvCxnSpPr>
      <xdr:spPr>
        <a:xfrm flipH="1">
          <a:off x="13521627224" y="75556404"/>
          <a:ext cx="162155" cy="5661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138774</xdr:colOff>
      <xdr:row>1138</xdr:row>
      <xdr:rowOff>180592</xdr:rowOff>
    </xdr:from>
    <xdr:ext cx="1688176" cy="344582"/>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3C0429E-12B9-D846-9353-500E9B6A08FF}"/>
                </a:ext>
              </a:extLst>
            </xdr:cNvPr>
            <xdr:cNvSpPr txBox="1"/>
          </xdr:nvSpPr>
          <xdr:spPr>
            <a:xfrm>
              <a:off x="13523177750" y="77701392"/>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𝐷𝐼𝑉</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33C0429E-12B9-D846-9353-500E9B6A08FF}"/>
                </a:ext>
              </a:extLst>
            </xdr:cNvPr>
            <xdr:cNvSpPr txBox="1"/>
          </xdr:nvSpPr>
          <xdr:spPr>
            <a:xfrm>
              <a:off x="13523177750" y="77701392"/>
              <a:ext cx="1688176"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𝑃_𝑆=𝐷𝐼𝑉/(𝑘_𝐸−𝑔)∗(1+𝑘_𝐸)</a:t>
              </a:r>
              <a:endParaRPr lang="en-US" sz="1100"/>
            </a:p>
          </xdr:txBody>
        </xdr:sp>
      </mc:Fallback>
    </mc:AlternateContent>
    <xdr:clientData/>
  </xdr:oneCellAnchor>
  <xdr:twoCellAnchor editAs="oneCell">
    <xdr:from>
      <xdr:col>3</xdr:col>
      <xdr:colOff>284904</xdr:colOff>
      <xdr:row>1137</xdr:row>
      <xdr:rowOff>142216</xdr:rowOff>
    </xdr:from>
    <xdr:to>
      <xdr:col>4</xdr:col>
      <xdr:colOff>646026</xdr:colOff>
      <xdr:row>1142</xdr:row>
      <xdr:rowOff>58573</xdr:rowOff>
    </xdr:to>
    <xdr:pic>
      <xdr:nvPicPr>
        <xdr:cNvPr id="100" name="Picture 99">
          <a:extLst>
            <a:ext uri="{FF2B5EF4-FFF2-40B4-BE49-F238E27FC236}">
              <a16:creationId xmlns:a16="http://schemas.microsoft.com/office/drawing/2014/main" id="{07975C51-9AA3-104C-8A6A-2C1B0A8FFE32}"/>
            </a:ext>
          </a:extLst>
        </xdr:cNvPr>
        <xdr:cNvPicPr>
          <a:picLocks noChangeAspect="1"/>
        </xdr:cNvPicPr>
      </xdr:nvPicPr>
      <xdr:blipFill>
        <a:blip xmlns:r="http://schemas.openxmlformats.org/officeDocument/2006/relationships" r:embed="rId1"/>
        <a:stretch>
          <a:fillRect/>
        </a:stretch>
      </xdr:blipFill>
      <xdr:spPr>
        <a:xfrm>
          <a:off x="13520853009" y="77459816"/>
          <a:ext cx="1390287" cy="932357"/>
        </a:xfrm>
        <a:prstGeom prst="rect">
          <a:avLst/>
        </a:prstGeom>
      </xdr:spPr>
    </xdr:pic>
    <xdr:clientData/>
  </xdr:twoCellAnchor>
  <xdr:twoCellAnchor>
    <xdr:from>
      <xdr:col>2</xdr:col>
      <xdr:colOff>536007</xdr:colOff>
      <xdr:row>1139</xdr:row>
      <xdr:rowOff>19315</xdr:rowOff>
    </xdr:from>
    <xdr:to>
      <xdr:col>3</xdr:col>
      <xdr:colOff>197984</xdr:colOff>
      <xdr:row>1140</xdr:row>
      <xdr:rowOff>67604</xdr:rowOff>
    </xdr:to>
    <xdr:sp macro="" textlink="">
      <xdr:nvSpPr>
        <xdr:cNvPr id="101" name="Right Arrow 100">
          <a:extLst>
            <a:ext uri="{FF2B5EF4-FFF2-40B4-BE49-F238E27FC236}">
              <a16:creationId xmlns:a16="http://schemas.microsoft.com/office/drawing/2014/main" id="{21DE0F78-9D68-DD44-834B-1579BD0D9E24}"/>
            </a:ext>
          </a:extLst>
        </xdr:cNvPr>
        <xdr:cNvSpPr/>
      </xdr:nvSpPr>
      <xdr:spPr>
        <a:xfrm>
          <a:off x="13522330216" y="77743315"/>
          <a:ext cx="487477" cy="25148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48288</xdr:colOff>
      <xdr:row>1139</xdr:row>
      <xdr:rowOff>43460</xdr:rowOff>
    </xdr:from>
    <xdr:to>
      <xdr:col>5</xdr:col>
      <xdr:colOff>536006</xdr:colOff>
      <xdr:row>1140</xdr:row>
      <xdr:rowOff>91749</xdr:rowOff>
    </xdr:to>
    <xdr:sp macro="" textlink="">
      <xdr:nvSpPr>
        <xdr:cNvPr id="102" name="Right Arrow 101">
          <a:extLst>
            <a:ext uri="{FF2B5EF4-FFF2-40B4-BE49-F238E27FC236}">
              <a16:creationId xmlns:a16="http://schemas.microsoft.com/office/drawing/2014/main" id="{2943A718-1B34-A744-8D7D-79424D3D3C0B}"/>
            </a:ext>
          </a:extLst>
        </xdr:cNvPr>
        <xdr:cNvSpPr/>
      </xdr:nvSpPr>
      <xdr:spPr>
        <a:xfrm>
          <a:off x="13520328494" y="77767460"/>
          <a:ext cx="487718" cy="25148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719505</xdr:colOff>
      <xdr:row>1137</xdr:row>
      <xdr:rowOff>4829</xdr:rowOff>
    </xdr:from>
    <xdr:to>
      <xdr:col>7</xdr:col>
      <xdr:colOff>144866</xdr:colOff>
      <xdr:row>1140</xdr:row>
      <xdr:rowOff>101407</xdr:rowOff>
    </xdr:to>
    <xdr:cxnSp macro="">
      <xdr:nvCxnSpPr>
        <xdr:cNvPr id="103" name="Straight Connector 102">
          <a:extLst>
            <a:ext uri="{FF2B5EF4-FFF2-40B4-BE49-F238E27FC236}">
              <a16:creationId xmlns:a16="http://schemas.microsoft.com/office/drawing/2014/main" id="{82FEAC1E-A6D9-C14E-860B-98A40B335840}"/>
            </a:ext>
          </a:extLst>
        </xdr:cNvPr>
        <xdr:cNvCxnSpPr/>
      </xdr:nvCxnSpPr>
      <xdr:spPr>
        <a:xfrm>
          <a:off x="13519068634" y="77322429"/>
          <a:ext cx="1076361" cy="7061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772696</xdr:colOff>
      <xdr:row>1157</xdr:row>
      <xdr:rowOff>15149</xdr:rowOff>
    </xdr:from>
    <xdr:ext cx="301504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73E11450-3B0B-FA48-AEF4-82E5EED122D4}"/>
                </a:ext>
              </a:extLst>
            </xdr:cNvPr>
            <xdr:cNvSpPr txBox="1"/>
          </xdr:nvSpPr>
          <xdr:spPr>
            <a:xfrm>
              <a:off x="13519565963" y="81396749"/>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=41.25∗5,000=</m:t>
                    </m:r>
                    <m:r>
                      <a:rPr lang="en-US" sz="1100" b="1" i="1">
                        <a:solidFill>
                          <a:srgbClr val="0070C0"/>
                        </a:solidFill>
                        <a:latin typeface="Cambria Math" panose="02040503050406030204" pitchFamily="18" charset="0"/>
                      </a:rPr>
                      <m:t>𝟐𝟎𝟔</m:t>
                    </m:r>
                    <m:r>
                      <a:rPr lang="en-US" sz="1100" b="1" i="1">
                        <a:solidFill>
                          <a:srgbClr val="0070C0"/>
                        </a:solidFill>
                        <a:latin typeface="Cambria Math" panose="02040503050406030204" pitchFamily="18" charset="0"/>
                      </a:rPr>
                      <m:t>,</m:t>
                    </m:r>
                    <m:r>
                      <a:rPr lang="en-US" sz="1100" b="1" i="1">
                        <a:solidFill>
                          <a:srgbClr val="0070C0"/>
                        </a:solidFill>
                        <a:latin typeface="Cambria Math" panose="02040503050406030204" pitchFamily="18" charset="0"/>
                      </a:rPr>
                      <m:t>𝟐𝟓𝟎</m:t>
                    </m:r>
                  </m:oMath>
                </m:oMathPara>
              </a14:m>
              <a:endParaRPr lang="en-US" sz="1100" b="1"/>
            </a:p>
          </xdr:txBody>
        </xdr:sp>
      </mc:Choice>
      <mc:Fallback xmlns="">
        <xdr:sp macro="" textlink="">
          <xdr:nvSpPr>
            <xdr:cNvPr id="104" name="TextBox 103">
              <a:extLst>
                <a:ext uri="{FF2B5EF4-FFF2-40B4-BE49-F238E27FC236}">
                  <a16:creationId xmlns:a16="http://schemas.microsoft.com/office/drawing/2014/main" id="{73E11450-3B0B-FA48-AEF4-82E5EED122D4}"/>
                </a:ext>
              </a:extLst>
            </xdr:cNvPr>
            <xdr:cNvSpPr txBox="1"/>
          </xdr:nvSpPr>
          <xdr:spPr>
            <a:xfrm>
              <a:off x="13519565963" y="81396749"/>
              <a:ext cx="30150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𝐸=41.25∗5,000=</a:t>
              </a:r>
              <a:r>
                <a:rPr lang="en-US" sz="1100" b="1" i="0">
                  <a:solidFill>
                    <a:srgbClr val="0070C0"/>
                  </a:solidFill>
                  <a:latin typeface="Cambria Math" panose="02040503050406030204" pitchFamily="18" charset="0"/>
                </a:rPr>
                <a:t>𝟐𝟎𝟔,𝟐𝟓𝟎</a:t>
              </a:r>
              <a:endParaRPr lang="en-US" sz="1100" b="1"/>
            </a:p>
          </xdr:txBody>
        </xdr:sp>
      </mc:Fallback>
    </mc:AlternateContent>
    <xdr:clientData/>
  </xdr:oneCellAnchor>
  <xdr:twoCellAnchor>
    <xdr:from>
      <xdr:col>6</xdr:col>
      <xdr:colOff>545665</xdr:colOff>
      <xdr:row>1167</xdr:row>
      <xdr:rowOff>4829</xdr:rowOff>
    </xdr:from>
    <xdr:to>
      <xdr:col>6</xdr:col>
      <xdr:colOff>550494</xdr:colOff>
      <xdr:row>1168</xdr:row>
      <xdr:rowOff>188327</xdr:rowOff>
    </xdr:to>
    <xdr:cxnSp macro="">
      <xdr:nvCxnSpPr>
        <xdr:cNvPr id="105" name="Straight Arrow Connector 104">
          <a:extLst>
            <a:ext uri="{FF2B5EF4-FFF2-40B4-BE49-F238E27FC236}">
              <a16:creationId xmlns:a16="http://schemas.microsoft.com/office/drawing/2014/main" id="{C84B457B-BB0F-E34A-9147-AFB4A204A789}"/>
            </a:ext>
          </a:extLst>
        </xdr:cNvPr>
        <xdr:cNvCxnSpPr/>
      </xdr:nvCxnSpPr>
      <xdr:spPr>
        <a:xfrm flipH="1">
          <a:off x="13519488506" y="83418429"/>
          <a:ext cx="4829" cy="3866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584296</xdr:colOff>
      <xdr:row>1167</xdr:row>
      <xdr:rowOff>4829</xdr:rowOff>
    </xdr:from>
    <xdr:to>
      <xdr:col>5</xdr:col>
      <xdr:colOff>589125</xdr:colOff>
      <xdr:row>1168</xdr:row>
      <xdr:rowOff>188327</xdr:rowOff>
    </xdr:to>
    <xdr:cxnSp macro="">
      <xdr:nvCxnSpPr>
        <xdr:cNvPr id="106" name="Straight Arrow Connector 105">
          <a:extLst>
            <a:ext uri="{FF2B5EF4-FFF2-40B4-BE49-F238E27FC236}">
              <a16:creationId xmlns:a16="http://schemas.microsoft.com/office/drawing/2014/main" id="{B3D3E01A-F9F0-F64E-83AC-2D9AA0B86C43}"/>
            </a:ext>
          </a:extLst>
        </xdr:cNvPr>
        <xdr:cNvCxnSpPr/>
      </xdr:nvCxnSpPr>
      <xdr:spPr>
        <a:xfrm flipH="1">
          <a:off x="13520275375" y="83418429"/>
          <a:ext cx="4829" cy="3866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231751</xdr:colOff>
      <xdr:row>37</xdr:row>
      <xdr:rowOff>173165</xdr:rowOff>
    </xdr:from>
    <xdr:ext cx="2828464" cy="31688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C41F7013-AA57-79A8-80F5-DF2C05BF019D}"/>
                </a:ext>
              </a:extLst>
            </xdr:cNvPr>
            <xdr:cNvSpPr txBox="1"/>
          </xdr:nvSpPr>
          <xdr:spPr>
            <a:xfrm>
              <a:off x="13512687668" y="588353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107" name="TextBox 106">
              <a:extLst>
                <a:ext uri="{FF2B5EF4-FFF2-40B4-BE49-F238E27FC236}">
                  <a16:creationId xmlns:a16="http://schemas.microsoft.com/office/drawing/2014/main" id="{C41F7013-AA57-79A8-80F5-DF2C05BF019D}"/>
                </a:ext>
              </a:extLst>
            </xdr:cNvPr>
            <xdr:cNvSpPr txBox="1"/>
          </xdr:nvSpPr>
          <xdr:spPr>
            <a:xfrm>
              <a:off x="13512687668" y="5883530"/>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xdr:from>
      <xdr:col>2</xdr:col>
      <xdr:colOff>679955</xdr:colOff>
      <xdr:row>168</xdr:row>
      <xdr:rowOff>157345</xdr:rowOff>
    </xdr:from>
    <xdr:to>
      <xdr:col>3</xdr:col>
      <xdr:colOff>39336</xdr:colOff>
      <xdr:row>169</xdr:row>
      <xdr:rowOff>73053</xdr:rowOff>
    </xdr:to>
    <xdr:cxnSp macro="">
      <xdr:nvCxnSpPr>
        <xdr:cNvPr id="4" name="Straight Arrow Connector 3">
          <a:extLst>
            <a:ext uri="{FF2B5EF4-FFF2-40B4-BE49-F238E27FC236}">
              <a16:creationId xmlns:a16="http://schemas.microsoft.com/office/drawing/2014/main" id="{54F52D0D-4B0C-DCCE-1749-AA459BB83150}"/>
            </a:ext>
          </a:extLst>
        </xdr:cNvPr>
        <xdr:cNvCxnSpPr/>
      </xdr:nvCxnSpPr>
      <xdr:spPr>
        <a:xfrm flipH="1" flipV="1">
          <a:off x="13531782566" y="31154336"/>
          <a:ext cx="185443" cy="1180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769867</xdr:colOff>
      <xdr:row>169</xdr:row>
      <xdr:rowOff>162964</xdr:rowOff>
    </xdr:from>
    <xdr:to>
      <xdr:col>6</xdr:col>
      <xdr:colOff>61814</xdr:colOff>
      <xdr:row>175</xdr:row>
      <xdr:rowOff>16858</xdr:rowOff>
    </xdr:to>
    <xdr:sp macro="" textlink="">
      <xdr:nvSpPr>
        <xdr:cNvPr id="5" name="Rounded Rectangular Callout 4">
          <a:extLst>
            <a:ext uri="{FF2B5EF4-FFF2-40B4-BE49-F238E27FC236}">
              <a16:creationId xmlns:a16="http://schemas.microsoft.com/office/drawing/2014/main" id="{FCBB2FDA-162F-CE16-E5B4-AE9DDFF10958}"/>
            </a:ext>
          </a:extLst>
        </xdr:cNvPr>
        <xdr:cNvSpPr/>
      </xdr:nvSpPr>
      <xdr:spPr>
        <a:xfrm>
          <a:off x="13529180752" y="31362256"/>
          <a:ext cx="2697345" cy="1067699"/>
        </a:xfrm>
        <a:prstGeom prst="wedgeRoundRectCallout">
          <a:avLst>
            <a:gd name="adj1" fmla="val 56607"/>
            <a:gd name="adj2" fmla="val -46761"/>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של סדרה אינסופית קבועה מחשבים על ידי חלוקת התזרים 14,000,000 במחיר ההון הרלוונטי: 20%. התוצאה מבטאת ערך נוכחי לזמן ״אחת אחורה״ לכן ביטאתי ערך הסדרה במונחי זמן 5 </a:t>
          </a:r>
          <a:endParaRPr lang="en-US" sz="1100"/>
        </a:p>
      </xdr:txBody>
    </xdr:sp>
    <xdr:clientData/>
  </xdr:twoCellAnchor>
  <xdr:twoCellAnchor editAs="oneCell">
    <xdr:from>
      <xdr:col>5</xdr:col>
      <xdr:colOff>429380</xdr:colOff>
      <xdr:row>212</xdr:row>
      <xdr:rowOff>43085</xdr:rowOff>
    </xdr:from>
    <xdr:to>
      <xdr:col>8</xdr:col>
      <xdr:colOff>648303</xdr:colOff>
      <xdr:row>220</xdr:row>
      <xdr:rowOff>57377</xdr:rowOff>
    </xdr:to>
    <xdr:pic>
      <xdr:nvPicPr>
        <xdr:cNvPr id="10" name="Picture 9">
          <a:extLst>
            <a:ext uri="{FF2B5EF4-FFF2-40B4-BE49-F238E27FC236}">
              <a16:creationId xmlns:a16="http://schemas.microsoft.com/office/drawing/2014/main" id="{34A73E86-209C-15DB-C9B8-3D1FDB8F088B}"/>
            </a:ext>
          </a:extLst>
        </xdr:cNvPr>
        <xdr:cNvPicPr>
          <a:picLocks noChangeAspect="1"/>
        </xdr:cNvPicPr>
      </xdr:nvPicPr>
      <xdr:blipFill>
        <a:blip xmlns:r="http://schemas.openxmlformats.org/officeDocument/2006/relationships" r:embed="rId2"/>
        <a:stretch>
          <a:fillRect/>
        </a:stretch>
      </xdr:blipFill>
      <xdr:spPr>
        <a:xfrm>
          <a:off x="13567257601" y="39413085"/>
          <a:ext cx="2704495" cy="1659244"/>
        </a:xfrm>
        <a:prstGeom prst="rect">
          <a:avLst/>
        </a:prstGeom>
      </xdr:spPr>
    </xdr:pic>
    <xdr:clientData/>
  </xdr:twoCellAnchor>
  <xdr:twoCellAnchor>
    <xdr:from>
      <xdr:col>8</xdr:col>
      <xdr:colOff>290285</xdr:colOff>
      <xdr:row>215</xdr:row>
      <xdr:rowOff>48380</xdr:rowOff>
    </xdr:from>
    <xdr:to>
      <xdr:col>10</xdr:col>
      <xdr:colOff>647095</xdr:colOff>
      <xdr:row>218</xdr:row>
      <xdr:rowOff>157238</xdr:rowOff>
    </xdr:to>
    <xdr:sp macro="" textlink="">
      <xdr:nvSpPr>
        <xdr:cNvPr id="11" name="Rectangular Callout 10">
          <a:extLst>
            <a:ext uri="{FF2B5EF4-FFF2-40B4-BE49-F238E27FC236}">
              <a16:creationId xmlns:a16="http://schemas.microsoft.com/office/drawing/2014/main" id="{6D724F07-8821-F809-CAAA-1EDBC74B90FE}"/>
            </a:ext>
          </a:extLst>
        </xdr:cNvPr>
        <xdr:cNvSpPr/>
      </xdr:nvSpPr>
      <xdr:spPr>
        <a:xfrm>
          <a:off x="13565601762" y="40035237"/>
          <a:ext cx="2013857" cy="725715"/>
        </a:xfrm>
        <a:prstGeom prst="wedgeRectCallout">
          <a:avLst>
            <a:gd name="adj1" fmla="val 87575"/>
            <a:gd name="adj2" fmla="val -63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a:t>
          </a:r>
          <a:r>
            <a:rPr lang="he-IL" sz="1100" baseline="0"/>
            <a:t> תראה איזה חזקה אני: מחיר ההון העצמי הוא בעצם שווי ההון העצמי!!! יאיי</a:t>
          </a:r>
          <a:endParaRPr lang="en-US" sz="1100"/>
        </a:p>
      </xdr:txBody>
    </xdr:sp>
    <xdr:clientData/>
  </xdr:twoCellAnchor>
  <xdr:twoCellAnchor>
    <xdr:from>
      <xdr:col>8</xdr:col>
      <xdr:colOff>108855</xdr:colOff>
      <xdr:row>224</xdr:row>
      <xdr:rowOff>90715</xdr:rowOff>
    </xdr:from>
    <xdr:to>
      <xdr:col>10</xdr:col>
      <xdr:colOff>465665</xdr:colOff>
      <xdr:row>227</xdr:row>
      <xdr:rowOff>199572</xdr:rowOff>
    </xdr:to>
    <xdr:sp macro="" textlink="">
      <xdr:nvSpPr>
        <xdr:cNvPr id="12" name="Rectangular Callout 11">
          <a:extLst>
            <a:ext uri="{FF2B5EF4-FFF2-40B4-BE49-F238E27FC236}">
              <a16:creationId xmlns:a16="http://schemas.microsoft.com/office/drawing/2014/main" id="{468C351C-0A97-BA6D-E3A7-F53F2FA2A05C}"/>
            </a:ext>
          </a:extLst>
        </xdr:cNvPr>
        <xdr:cNvSpPr/>
      </xdr:nvSpPr>
      <xdr:spPr>
        <a:xfrm>
          <a:off x="13565783192" y="41516905"/>
          <a:ext cx="2013857" cy="725715"/>
        </a:xfrm>
        <a:prstGeom prst="wedgeRectCallout">
          <a:avLst>
            <a:gd name="adj1" fmla="val 123311"/>
            <a:gd name="adj2" fmla="val -16883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ממש לא!!! </a:t>
          </a:r>
        </a:p>
        <a:p>
          <a:pPr algn="r" rtl="1"/>
          <a:r>
            <a:rPr lang="he-IL" sz="1100"/>
            <a:t>מחיר הון עצמי = תשואה נדרשת על ההון העצמי</a:t>
          </a:r>
          <a:r>
            <a:rPr lang="he-IL" sz="1100" baseline="0"/>
            <a:t> </a:t>
          </a:r>
          <a:r>
            <a:rPr lang="he-IL" sz="1100"/>
            <a:t>באחוזים</a:t>
          </a:r>
        </a:p>
        <a:p>
          <a:pPr algn="r" rtl="1"/>
          <a:r>
            <a:rPr lang="he-IL" sz="1100"/>
            <a:t>שווי הון עצמי = שווי בש״ח</a:t>
          </a:r>
          <a:endParaRPr lang="en-US" sz="1100"/>
        </a:p>
      </xdr:txBody>
    </xdr:sp>
    <xdr:clientData/>
  </xdr:twoCellAnchor>
  <xdr:twoCellAnchor>
    <xdr:from>
      <xdr:col>8</xdr:col>
      <xdr:colOff>774094</xdr:colOff>
      <xdr:row>212</xdr:row>
      <xdr:rowOff>126999</xdr:rowOff>
    </xdr:from>
    <xdr:to>
      <xdr:col>11</xdr:col>
      <xdr:colOff>302380</xdr:colOff>
      <xdr:row>214</xdr:row>
      <xdr:rowOff>36286</xdr:rowOff>
    </xdr:to>
    <xdr:sp macro="" textlink="">
      <xdr:nvSpPr>
        <xdr:cNvPr id="13" name="Rectangular Callout 12">
          <a:extLst>
            <a:ext uri="{FF2B5EF4-FFF2-40B4-BE49-F238E27FC236}">
              <a16:creationId xmlns:a16="http://schemas.microsoft.com/office/drawing/2014/main" id="{D9FB706C-A409-7962-3BC4-F325C845AAC2}"/>
            </a:ext>
          </a:extLst>
        </xdr:cNvPr>
        <xdr:cNvSpPr/>
      </xdr:nvSpPr>
      <xdr:spPr>
        <a:xfrm>
          <a:off x="13565117953" y="39496999"/>
          <a:ext cx="2013857" cy="320525"/>
        </a:xfrm>
        <a:prstGeom prst="wedgeRectCallout">
          <a:avLst>
            <a:gd name="adj1" fmla="val 81269"/>
            <a:gd name="adj2" fmla="val 4461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סתם</a:t>
          </a:r>
          <a:r>
            <a:rPr lang="he-IL" sz="1100" baseline="0"/>
            <a:t> נדחפתי אין עליי!!!</a:t>
          </a:r>
          <a:endParaRPr lang="en-US" sz="1100"/>
        </a:p>
      </xdr:txBody>
    </xdr:sp>
    <xdr:clientData/>
  </xdr:twoCellAnchor>
  <xdr:twoCellAnchor editAs="oneCell">
    <xdr:from>
      <xdr:col>4</xdr:col>
      <xdr:colOff>458210</xdr:colOff>
      <xdr:row>64</xdr:row>
      <xdr:rowOff>202045</xdr:rowOff>
    </xdr:from>
    <xdr:to>
      <xdr:col>6</xdr:col>
      <xdr:colOff>292821</xdr:colOff>
      <xdr:row>71</xdr:row>
      <xdr:rowOff>172027</xdr:rowOff>
    </xdr:to>
    <xdr:pic>
      <xdr:nvPicPr>
        <xdr:cNvPr id="3" name="Picture 2">
          <a:extLst>
            <a:ext uri="{FF2B5EF4-FFF2-40B4-BE49-F238E27FC236}">
              <a16:creationId xmlns:a16="http://schemas.microsoft.com/office/drawing/2014/main" id="{EC99E6E6-BBE6-7070-353F-2A57F77858C2}"/>
            </a:ext>
          </a:extLst>
        </xdr:cNvPr>
        <xdr:cNvPicPr>
          <a:picLocks noChangeAspect="1"/>
        </xdr:cNvPicPr>
      </xdr:nvPicPr>
      <xdr:blipFill>
        <a:blip xmlns:r="http://schemas.openxmlformats.org/officeDocument/2006/relationships" r:embed="rId3"/>
        <a:stretch>
          <a:fillRect/>
        </a:stretch>
      </xdr:blipFill>
      <xdr:spPr>
        <a:xfrm>
          <a:off x="13531564395" y="13161818"/>
          <a:ext cx="1689100" cy="1384300"/>
        </a:xfrm>
        <a:prstGeom prst="rect">
          <a:avLst/>
        </a:prstGeom>
      </xdr:spPr>
    </xdr:pic>
    <xdr:clientData/>
  </xdr:twoCellAnchor>
  <xdr:twoCellAnchor>
    <xdr:from>
      <xdr:col>5</xdr:col>
      <xdr:colOff>714376</xdr:colOff>
      <xdr:row>64</xdr:row>
      <xdr:rowOff>97413</xdr:rowOff>
    </xdr:from>
    <xdr:to>
      <xdr:col>8</xdr:col>
      <xdr:colOff>786535</xdr:colOff>
      <xdr:row>69</xdr:row>
      <xdr:rowOff>162357</xdr:rowOff>
    </xdr:to>
    <xdr:sp macro="" textlink="">
      <xdr:nvSpPr>
        <xdr:cNvPr id="6" name="Rounded Rectangular Callout 5">
          <a:extLst>
            <a:ext uri="{FF2B5EF4-FFF2-40B4-BE49-F238E27FC236}">
              <a16:creationId xmlns:a16="http://schemas.microsoft.com/office/drawing/2014/main" id="{BA0A1CE3-D5C2-6610-E526-99BCF4F6F794}"/>
            </a:ext>
          </a:extLst>
        </xdr:cNvPr>
        <xdr:cNvSpPr/>
      </xdr:nvSpPr>
      <xdr:spPr>
        <a:xfrm>
          <a:off x="13529418238" y="13057186"/>
          <a:ext cx="2550824" cy="1075171"/>
        </a:xfrm>
        <a:prstGeom prst="wedgeRoundRectCallout">
          <a:avLst>
            <a:gd name="adj1" fmla="val 63486"/>
            <a:gd name="adj2" fmla="val 312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שאלה</a:t>
          </a:r>
          <a:r>
            <a:rPr lang="he-IL" sz="1100" baseline="0"/>
            <a:t> מקדמית לפני הדיון במחיר ההון המשוקלל - איך מחלצים את מחיר ההון העצמי (תשואה נדרשת באחוזים על ידי בעלי המניות) הואיל וזהו אחד הרכיבים המרכזיים במחיר ההון המשוקלל</a:t>
          </a:r>
          <a:endParaRPr lang="en-US" sz="1100"/>
        </a:p>
      </xdr:txBody>
    </xdr:sp>
    <xdr:clientData/>
  </xdr:twoCellAnchor>
  <xdr:twoCellAnchor editAs="oneCell">
    <xdr:from>
      <xdr:col>4</xdr:col>
      <xdr:colOff>0</xdr:colOff>
      <xdr:row>98</xdr:row>
      <xdr:rowOff>202045</xdr:rowOff>
    </xdr:from>
    <xdr:to>
      <xdr:col>5</xdr:col>
      <xdr:colOff>114733</xdr:colOff>
      <xdr:row>104</xdr:row>
      <xdr:rowOff>132772</xdr:rowOff>
    </xdr:to>
    <xdr:pic>
      <xdr:nvPicPr>
        <xdr:cNvPr id="7" name="Picture 6">
          <a:extLst>
            <a:ext uri="{FF2B5EF4-FFF2-40B4-BE49-F238E27FC236}">
              <a16:creationId xmlns:a16="http://schemas.microsoft.com/office/drawing/2014/main" id="{848C951B-DAF0-68B8-68B7-252C231930C8}"/>
            </a:ext>
          </a:extLst>
        </xdr:cNvPr>
        <xdr:cNvPicPr>
          <a:picLocks noChangeAspect="1"/>
        </xdr:cNvPicPr>
      </xdr:nvPicPr>
      <xdr:blipFill>
        <a:blip xmlns:r="http://schemas.openxmlformats.org/officeDocument/2006/relationships" r:embed="rId4"/>
        <a:stretch>
          <a:fillRect/>
        </a:stretch>
      </xdr:blipFill>
      <xdr:spPr>
        <a:xfrm>
          <a:off x="13532568705" y="20060227"/>
          <a:ext cx="1143000" cy="1143000"/>
        </a:xfrm>
        <a:prstGeom prst="rect">
          <a:avLst/>
        </a:prstGeom>
      </xdr:spPr>
    </xdr:pic>
    <xdr:clientData/>
  </xdr:twoCellAnchor>
  <xdr:twoCellAnchor>
    <xdr:from>
      <xdr:col>4</xdr:col>
      <xdr:colOff>1006620</xdr:colOff>
      <xdr:row>99</xdr:row>
      <xdr:rowOff>18039</xdr:rowOff>
    </xdr:from>
    <xdr:to>
      <xdr:col>7</xdr:col>
      <xdr:colOff>584489</xdr:colOff>
      <xdr:row>103</xdr:row>
      <xdr:rowOff>119062</xdr:rowOff>
    </xdr:to>
    <xdr:sp macro="" textlink="">
      <xdr:nvSpPr>
        <xdr:cNvPr id="8" name="Rounded Rectangular Callout 7">
          <a:extLst>
            <a:ext uri="{FF2B5EF4-FFF2-40B4-BE49-F238E27FC236}">
              <a16:creationId xmlns:a16="http://schemas.microsoft.com/office/drawing/2014/main" id="{BC5FCC4B-77B2-B485-A92D-E4BD4F6683AC}"/>
            </a:ext>
          </a:extLst>
        </xdr:cNvPr>
        <xdr:cNvSpPr/>
      </xdr:nvSpPr>
      <xdr:spPr>
        <a:xfrm>
          <a:off x="13530446506" y="20078266"/>
          <a:ext cx="2258579" cy="909205"/>
        </a:xfrm>
        <a:prstGeom prst="wedgeRoundRectCallout">
          <a:avLst>
            <a:gd name="adj1" fmla="val 58081"/>
            <a:gd name="adj2" fmla="val 2169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מחיר ההון</a:t>
          </a:r>
          <a:r>
            <a:rPr lang="he-IL" sz="1100" baseline="0"/>
            <a:t> העצמי הרלוונטי לפרויקט בתחום פעילות חדש: נשען על ממוצע הביטאות של חברות שפעילות בתחום החדש</a:t>
          </a:r>
          <a:endParaRPr lang="en-US" sz="1100"/>
        </a:p>
      </xdr:txBody>
    </xdr:sp>
    <xdr:clientData/>
  </xdr:twoCellAnchor>
  <xdr:oneCellAnchor>
    <xdr:from>
      <xdr:col>7</xdr:col>
      <xdr:colOff>535965</xdr:colOff>
      <xdr:row>518</xdr:row>
      <xdr:rowOff>46606</xdr:rowOff>
    </xdr:from>
    <xdr:ext cx="2708341" cy="5721434"/>
    <xdr:pic>
      <xdr:nvPicPr>
        <xdr:cNvPr id="19" name="Picture 18">
          <a:extLst>
            <a:ext uri="{FF2B5EF4-FFF2-40B4-BE49-F238E27FC236}">
              <a16:creationId xmlns:a16="http://schemas.microsoft.com/office/drawing/2014/main" id="{FEC290BA-6B78-544B-8314-BFE9699DB70C}"/>
            </a:ext>
          </a:extLst>
        </xdr:cNvPr>
        <xdr:cNvPicPr>
          <a:picLocks noChangeAspect="1"/>
        </xdr:cNvPicPr>
      </xdr:nvPicPr>
      <xdr:blipFill>
        <a:blip xmlns:r="http://schemas.openxmlformats.org/officeDocument/2006/relationships" r:embed="rId5"/>
        <a:stretch>
          <a:fillRect/>
        </a:stretch>
      </xdr:blipFill>
      <xdr:spPr>
        <a:xfrm>
          <a:off x="13515969194" y="44141006"/>
          <a:ext cx="2708341" cy="5721434"/>
        </a:xfrm>
        <a:prstGeom prst="rect">
          <a:avLst/>
        </a:prstGeom>
      </xdr:spPr>
    </xdr:pic>
    <xdr:clientData/>
  </xdr:oneCellAnchor>
  <xdr:twoCellAnchor>
    <xdr:from>
      <xdr:col>10</xdr:col>
      <xdr:colOff>221377</xdr:colOff>
      <xdr:row>519</xdr:row>
      <xdr:rowOff>128165</xdr:rowOff>
    </xdr:from>
    <xdr:to>
      <xdr:col>15</xdr:col>
      <xdr:colOff>803945</xdr:colOff>
      <xdr:row>522</xdr:row>
      <xdr:rowOff>163120</xdr:rowOff>
    </xdr:to>
    <xdr:sp macro="" textlink="">
      <xdr:nvSpPr>
        <xdr:cNvPr id="20" name="Rectangular Callout 19">
          <a:extLst>
            <a:ext uri="{FF2B5EF4-FFF2-40B4-BE49-F238E27FC236}">
              <a16:creationId xmlns:a16="http://schemas.microsoft.com/office/drawing/2014/main" id="{D8A2C8A0-CAE8-FD4D-8ACF-698EB5856432}"/>
            </a:ext>
          </a:extLst>
        </xdr:cNvPr>
        <xdr:cNvSpPr/>
      </xdr:nvSpPr>
      <xdr:spPr>
        <a:xfrm>
          <a:off x="13511805555" y="44425765"/>
          <a:ext cx="4710068" cy="644555"/>
        </a:xfrm>
        <a:prstGeom prst="wedgeRectCallout">
          <a:avLst>
            <a:gd name="adj1" fmla="val 55216"/>
            <a:gd name="adj2" fmla="val 4436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אבל שי! בהקלטת השיעור אמרת שיש ביטא אז נלך לפי נוסחה 1 לחשב את מחיר ההון העצמי למה ללכלך</a:t>
          </a:r>
          <a:r>
            <a:rPr lang="he-IL" sz="1100" baseline="0"/>
            <a:t> למה ככה אחי?</a:t>
          </a:r>
        </a:p>
        <a:p>
          <a:pPr algn="r" rtl="1"/>
          <a:endParaRPr lang="en-US" sz="1100"/>
        </a:p>
      </xdr:txBody>
    </xdr:sp>
    <xdr:clientData/>
  </xdr:twoCellAnchor>
  <xdr:oneCellAnchor>
    <xdr:from>
      <xdr:col>11</xdr:col>
      <xdr:colOff>272638</xdr:colOff>
      <xdr:row>523</xdr:row>
      <xdr:rowOff>186422</xdr:rowOff>
    </xdr:from>
    <xdr:ext cx="2796335" cy="5548710"/>
    <xdr:pic>
      <xdr:nvPicPr>
        <xdr:cNvPr id="21" name="Picture 20">
          <a:extLst>
            <a:ext uri="{FF2B5EF4-FFF2-40B4-BE49-F238E27FC236}">
              <a16:creationId xmlns:a16="http://schemas.microsoft.com/office/drawing/2014/main" id="{3DBEDD4D-6435-A84C-989E-EED88D1F16FC}"/>
            </a:ext>
          </a:extLst>
        </xdr:cNvPr>
        <xdr:cNvPicPr>
          <a:picLocks noChangeAspect="1"/>
        </xdr:cNvPicPr>
      </xdr:nvPicPr>
      <xdr:blipFill>
        <a:blip xmlns:r="http://schemas.openxmlformats.org/officeDocument/2006/relationships" r:embed="rId6"/>
        <a:stretch>
          <a:fillRect/>
        </a:stretch>
      </xdr:blipFill>
      <xdr:spPr>
        <a:xfrm>
          <a:off x="13512842527" y="45296822"/>
          <a:ext cx="2796335" cy="5548710"/>
        </a:xfrm>
        <a:prstGeom prst="rect">
          <a:avLst/>
        </a:prstGeom>
      </xdr:spPr>
    </xdr:pic>
    <xdr:clientData/>
  </xdr:oneCellAnchor>
  <xdr:twoCellAnchor>
    <xdr:from>
      <xdr:col>14</xdr:col>
      <xdr:colOff>524312</xdr:colOff>
      <xdr:row>526</xdr:row>
      <xdr:rowOff>81559</xdr:rowOff>
    </xdr:from>
    <xdr:to>
      <xdr:col>20</xdr:col>
      <xdr:colOff>279633</xdr:colOff>
      <xdr:row>530</xdr:row>
      <xdr:rowOff>174771</xdr:rowOff>
    </xdr:to>
    <xdr:sp macro="" textlink="">
      <xdr:nvSpPr>
        <xdr:cNvPr id="22" name="Rectangular Callout 21">
          <a:extLst>
            <a:ext uri="{FF2B5EF4-FFF2-40B4-BE49-F238E27FC236}">
              <a16:creationId xmlns:a16="http://schemas.microsoft.com/office/drawing/2014/main" id="{01B72B29-3FBE-9E44-9A14-FE221869B4F4}"/>
            </a:ext>
          </a:extLst>
        </xdr:cNvPr>
        <xdr:cNvSpPr/>
      </xdr:nvSpPr>
      <xdr:spPr>
        <a:xfrm>
          <a:off x="13508202367" y="45801559"/>
          <a:ext cx="4708321" cy="906012"/>
        </a:xfrm>
        <a:prstGeom prst="wedgeRectCallout">
          <a:avLst>
            <a:gd name="adj1" fmla="val 55216"/>
            <a:gd name="adj2" fmla="val 4436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t>כי אמנם יש לך ביטא אחי, אבל אין לך </a:t>
          </a:r>
          <a:r>
            <a:rPr lang="en-US" sz="1100" baseline="0"/>
            <a:t>RF</a:t>
          </a:r>
          <a:r>
            <a:rPr lang="he-IL" sz="1100" baseline="0"/>
            <a:t>, אין לך </a:t>
          </a:r>
          <a:r>
            <a:rPr lang="en-US" sz="1100" baseline="0"/>
            <a:t>EM</a:t>
          </a:r>
          <a:r>
            <a:rPr lang="he-IL" sz="1100" baseline="0"/>
            <a:t>, אין לך פרמיות סיכון על השוק. כלומר למרות שיש את הנתון הזה, תכל׳ס אין מה לעשות איתו. אתה נתקע כשאתה משתמש בנוסחה 1, ולכן ממשיכים הלאה לדרך החילוץ הנוספת של מחיר ההון, לפי נוסחת </a:t>
          </a:r>
          <a:r>
            <a:rPr lang="en-US" sz="1100" baseline="0"/>
            <a:t>PS</a:t>
          </a:r>
          <a:endParaRPr lang="he-IL" sz="1100" baseline="0"/>
        </a:p>
        <a:p>
          <a:pPr algn="r" rtl="1"/>
          <a:endParaRPr lang="en-US" sz="1100"/>
        </a:p>
      </xdr:txBody>
    </xdr:sp>
    <xdr:clientData/>
  </xdr:twoCellAnchor>
  <xdr:twoCellAnchor>
    <xdr:from>
      <xdr:col>5</xdr:col>
      <xdr:colOff>434975</xdr:colOff>
      <xdr:row>334</xdr:row>
      <xdr:rowOff>19049</xdr:rowOff>
    </xdr:from>
    <xdr:to>
      <xdr:col>6</xdr:col>
      <xdr:colOff>469900</xdr:colOff>
      <xdr:row>337</xdr:row>
      <xdr:rowOff>92074</xdr:rowOff>
    </xdr:to>
    <xdr:sp macro="" textlink="">
      <xdr:nvSpPr>
        <xdr:cNvPr id="23" name="Rectangular Callout 22">
          <a:extLst>
            <a:ext uri="{FF2B5EF4-FFF2-40B4-BE49-F238E27FC236}">
              <a16:creationId xmlns:a16="http://schemas.microsoft.com/office/drawing/2014/main" id="{A2B9BA5D-ED8B-F343-8504-17887D52A471}"/>
            </a:ext>
          </a:extLst>
        </xdr:cNvPr>
        <xdr:cNvSpPr/>
      </xdr:nvSpPr>
      <xdr:spPr>
        <a:xfrm>
          <a:off x="13519569100" y="6724649"/>
          <a:ext cx="860425" cy="682625"/>
        </a:xfrm>
        <a:prstGeom prst="wedgeRectCallout">
          <a:avLst>
            <a:gd name="adj1" fmla="val 88081"/>
            <a:gd name="adj2" fmla="val -8685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התשואה</a:t>
          </a:r>
          <a:r>
            <a:rPr lang="he-IL" sz="1100" baseline="0"/>
            <a:t> הנדרשת ע״י בעלי המניות</a:t>
          </a:r>
          <a:endParaRPr lang="en-US" sz="1100"/>
        </a:p>
      </xdr:txBody>
    </xdr:sp>
    <xdr:clientData/>
  </xdr:twoCellAnchor>
  <xdr:twoCellAnchor>
    <xdr:from>
      <xdr:col>4</xdr:col>
      <xdr:colOff>273050</xdr:colOff>
      <xdr:row>334</xdr:row>
      <xdr:rowOff>19049</xdr:rowOff>
    </xdr:from>
    <xdr:to>
      <xdr:col>5</xdr:col>
      <xdr:colOff>307975</xdr:colOff>
      <xdr:row>337</xdr:row>
      <xdr:rowOff>187325</xdr:rowOff>
    </xdr:to>
    <xdr:sp macro="" textlink="">
      <xdr:nvSpPr>
        <xdr:cNvPr id="24" name="Rectangular Callout 23">
          <a:extLst>
            <a:ext uri="{FF2B5EF4-FFF2-40B4-BE49-F238E27FC236}">
              <a16:creationId xmlns:a16="http://schemas.microsoft.com/office/drawing/2014/main" id="{D9618CBE-0EFC-ED41-826B-E79ADF6CB80C}"/>
            </a:ext>
          </a:extLst>
        </xdr:cNvPr>
        <xdr:cNvSpPr/>
      </xdr:nvSpPr>
      <xdr:spPr>
        <a:xfrm>
          <a:off x="13520556525" y="6724649"/>
          <a:ext cx="860425" cy="777876"/>
        </a:xfrm>
        <a:prstGeom prst="wedgeRectCallout">
          <a:avLst>
            <a:gd name="adj1" fmla="val 24243"/>
            <a:gd name="adj2" fmla="val -7755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החלק בחברה שממומן בהון עצמי</a:t>
          </a:r>
          <a:endParaRPr lang="en-US" sz="1100"/>
        </a:p>
      </xdr:txBody>
    </xdr:sp>
    <xdr:clientData/>
  </xdr:twoCellAnchor>
  <xdr:twoCellAnchor>
    <xdr:from>
      <xdr:col>3</xdr:col>
      <xdr:colOff>209550</xdr:colOff>
      <xdr:row>334</xdr:row>
      <xdr:rowOff>28574</xdr:rowOff>
    </xdr:from>
    <xdr:to>
      <xdr:col>4</xdr:col>
      <xdr:colOff>244475</xdr:colOff>
      <xdr:row>337</xdr:row>
      <xdr:rowOff>196850</xdr:rowOff>
    </xdr:to>
    <xdr:sp macro="" textlink="">
      <xdr:nvSpPr>
        <xdr:cNvPr id="25" name="Rectangular Callout 24">
          <a:extLst>
            <a:ext uri="{FF2B5EF4-FFF2-40B4-BE49-F238E27FC236}">
              <a16:creationId xmlns:a16="http://schemas.microsoft.com/office/drawing/2014/main" id="{89EE0F6E-B7D8-AA4E-8FA9-C88C285E2D71}"/>
            </a:ext>
          </a:extLst>
        </xdr:cNvPr>
        <xdr:cNvSpPr/>
      </xdr:nvSpPr>
      <xdr:spPr>
        <a:xfrm>
          <a:off x="13521445525" y="6734174"/>
          <a:ext cx="860425" cy="777876"/>
        </a:xfrm>
        <a:prstGeom prst="wedgeRectCallout">
          <a:avLst>
            <a:gd name="adj1" fmla="val -34060"/>
            <a:gd name="adj2" fmla="val -779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שיעור התשואה לפדיון בגין אג״ח</a:t>
          </a:r>
          <a:endParaRPr lang="en-US" sz="1100"/>
        </a:p>
      </xdr:txBody>
    </xdr:sp>
    <xdr:clientData/>
  </xdr:twoCellAnchor>
  <xdr:twoCellAnchor>
    <xdr:from>
      <xdr:col>2</xdr:col>
      <xdr:colOff>136525</xdr:colOff>
      <xdr:row>334</xdr:row>
      <xdr:rowOff>12699</xdr:rowOff>
    </xdr:from>
    <xdr:to>
      <xdr:col>3</xdr:col>
      <xdr:colOff>171450</xdr:colOff>
      <xdr:row>337</xdr:row>
      <xdr:rowOff>180975</xdr:rowOff>
    </xdr:to>
    <xdr:sp macro="" textlink="">
      <xdr:nvSpPr>
        <xdr:cNvPr id="26" name="Rectangular Callout 25">
          <a:extLst>
            <a:ext uri="{FF2B5EF4-FFF2-40B4-BE49-F238E27FC236}">
              <a16:creationId xmlns:a16="http://schemas.microsoft.com/office/drawing/2014/main" id="{004164DF-2CFF-B645-B76A-0FDA20020A65}"/>
            </a:ext>
          </a:extLst>
        </xdr:cNvPr>
        <xdr:cNvSpPr/>
      </xdr:nvSpPr>
      <xdr:spPr>
        <a:xfrm>
          <a:off x="13522344050" y="6718299"/>
          <a:ext cx="860425" cy="777876"/>
        </a:xfrm>
        <a:prstGeom prst="wedgeRectCallout">
          <a:avLst>
            <a:gd name="adj1" fmla="val -34060"/>
            <a:gd name="adj2" fmla="val -77963"/>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החלק בחברה שממומן בחוב</a:t>
          </a:r>
          <a:endParaRPr lang="en-US" sz="1100"/>
        </a:p>
      </xdr:txBody>
    </xdr:sp>
    <xdr:clientData/>
  </xdr:twoCellAnchor>
  <xdr:oneCellAnchor>
    <xdr:from>
      <xdr:col>2</xdr:col>
      <xdr:colOff>760727</xdr:colOff>
      <xdr:row>376</xdr:row>
      <xdr:rowOff>4329</xdr:rowOff>
    </xdr:from>
    <xdr:ext cx="2655773" cy="34567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A767F4A8-402E-6345-BB96-5F26C4FAC1B4}"/>
                </a:ext>
              </a:extLst>
            </xdr:cNvPr>
            <xdr:cNvSpPr txBox="1"/>
          </xdr:nvSpPr>
          <xdr:spPr>
            <a:xfrm>
              <a:off x="13519924500" y="15244329"/>
              <a:ext cx="265577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𝐶𝑜𝑢𝑝𝑜𝑛</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den>
                    </m:f>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=10%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A767F4A8-402E-6345-BB96-5F26C4FAC1B4}"/>
                </a:ext>
              </a:extLst>
            </xdr:cNvPr>
            <xdr:cNvSpPr txBox="1"/>
          </xdr:nvSpPr>
          <xdr:spPr>
            <a:xfrm>
              <a:off x="13519924500" y="15244329"/>
              <a:ext cx="265577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𝑃_𝐵=𝐶𝑜𝑢𝑝𝑜𝑛/𝑘_𝐷 →160=16/𝑘_𝐷 →𝑘_𝐷=10%</a:t>
              </a:r>
              <a:endParaRPr lang="en-US" sz="1100"/>
            </a:p>
          </xdr:txBody>
        </xdr:sp>
      </mc:Fallback>
    </mc:AlternateContent>
    <xdr:clientData/>
  </xdr:oneCellAnchor>
  <xdr:twoCellAnchor>
    <xdr:from>
      <xdr:col>6</xdr:col>
      <xdr:colOff>140050</xdr:colOff>
      <xdr:row>384</xdr:row>
      <xdr:rowOff>12732</xdr:rowOff>
    </xdr:from>
    <xdr:to>
      <xdr:col>6</xdr:col>
      <xdr:colOff>703433</xdr:colOff>
      <xdr:row>386</xdr:row>
      <xdr:rowOff>9549</xdr:rowOff>
    </xdr:to>
    <xdr:cxnSp macro="">
      <xdr:nvCxnSpPr>
        <xdr:cNvPr id="28" name="Straight Arrow Connector 27">
          <a:extLst>
            <a:ext uri="{FF2B5EF4-FFF2-40B4-BE49-F238E27FC236}">
              <a16:creationId xmlns:a16="http://schemas.microsoft.com/office/drawing/2014/main" id="{2E0013CC-B1B8-F04C-B62C-2131D66C9838}"/>
            </a:ext>
          </a:extLst>
        </xdr:cNvPr>
        <xdr:cNvCxnSpPr/>
      </xdr:nvCxnSpPr>
      <xdr:spPr>
        <a:xfrm flipH="1">
          <a:off x="13519335567" y="16878332"/>
          <a:ext cx="563383" cy="4032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604762</xdr:colOff>
      <xdr:row>384</xdr:row>
      <xdr:rowOff>28647</xdr:rowOff>
    </xdr:from>
    <xdr:to>
      <xdr:col>4</xdr:col>
      <xdr:colOff>343759</xdr:colOff>
      <xdr:row>386</xdr:row>
      <xdr:rowOff>25464</xdr:rowOff>
    </xdr:to>
    <xdr:cxnSp macro="">
      <xdr:nvCxnSpPr>
        <xdr:cNvPr id="29" name="Straight Arrow Connector 28">
          <a:extLst>
            <a:ext uri="{FF2B5EF4-FFF2-40B4-BE49-F238E27FC236}">
              <a16:creationId xmlns:a16="http://schemas.microsoft.com/office/drawing/2014/main" id="{0FB8A7C0-DC35-9548-ABBC-DEBCE8C24944}"/>
            </a:ext>
          </a:extLst>
        </xdr:cNvPr>
        <xdr:cNvCxnSpPr/>
      </xdr:nvCxnSpPr>
      <xdr:spPr>
        <a:xfrm flipH="1">
          <a:off x="13521346241" y="16894247"/>
          <a:ext cx="564497" cy="4032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533401</xdr:colOff>
      <xdr:row>314</xdr:row>
      <xdr:rowOff>198437</xdr:rowOff>
    </xdr:from>
    <xdr:ext cx="2340093" cy="316882"/>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40C9827-BCD4-CC88-8691-A33EBBA0384A}"/>
                </a:ext>
              </a:extLst>
            </xdr:cNvPr>
            <xdr:cNvSpPr txBox="1"/>
          </xdr:nvSpPr>
          <xdr:spPr>
            <a:xfrm>
              <a:off x="13519019706" y="64155637"/>
              <a:ext cx="234009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30" name="TextBox 29">
              <a:extLst>
                <a:ext uri="{FF2B5EF4-FFF2-40B4-BE49-F238E27FC236}">
                  <a16:creationId xmlns:a16="http://schemas.microsoft.com/office/drawing/2014/main" id="{A40C9827-BCD4-CC88-8691-A33EBBA0384A}"/>
                </a:ext>
              </a:extLst>
            </xdr:cNvPr>
            <xdr:cNvSpPr txBox="1"/>
          </xdr:nvSpPr>
          <xdr:spPr>
            <a:xfrm>
              <a:off x="13519019706" y="64155637"/>
              <a:ext cx="234009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editAs="oneCell">
    <xdr:from>
      <xdr:col>6</xdr:col>
      <xdr:colOff>341143</xdr:colOff>
      <xdr:row>377</xdr:row>
      <xdr:rowOff>3004</xdr:rowOff>
    </xdr:from>
    <xdr:to>
      <xdr:col>7</xdr:col>
      <xdr:colOff>646349</xdr:colOff>
      <xdr:row>382</xdr:row>
      <xdr:rowOff>87954</xdr:rowOff>
    </xdr:to>
    <xdr:pic>
      <xdr:nvPicPr>
        <xdr:cNvPr id="31" name="Picture 30">
          <a:extLst>
            <a:ext uri="{FF2B5EF4-FFF2-40B4-BE49-F238E27FC236}">
              <a16:creationId xmlns:a16="http://schemas.microsoft.com/office/drawing/2014/main" id="{51454096-8AE5-626D-F78C-0372224D7711}"/>
            </a:ext>
          </a:extLst>
        </xdr:cNvPr>
        <xdr:cNvPicPr>
          <a:picLocks noChangeAspect="1"/>
        </xdr:cNvPicPr>
      </xdr:nvPicPr>
      <xdr:blipFill>
        <a:blip xmlns:r="http://schemas.openxmlformats.org/officeDocument/2006/relationships" r:embed="rId7"/>
        <a:stretch>
          <a:fillRect/>
        </a:stretch>
      </xdr:blipFill>
      <xdr:spPr>
        <a:xfrm>
          <a:off x="13496440778" y="76594813"/>
          <a:ext cx="1129355" cy="1071226"/>
        </a:xfrm>
        <a:prstGeom prst="rect">
          <a:avLst/>
        </a:prstGeom>
      </xdr:spPr>
    </xdr:pic>
    <xdr:clientData/>
  </xdr:twoCellAnchor>
  <xdr:oneCellAnchor>
    <xdr:from>
      <xdr:col>5</xdr:col>
      <xdr:colOff>190500</xdr:colOff>
      <xdr:row>1088</xdr:row>
      <xdr:rowOff>96837</xdr:rowOff>
    </xdr:from>
    <xdr:ext cx="2249606" cy="31688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BB87E7E-0177-77E0-BBB5-BF5032A6AF11}"/>
                </a:ext>
              </a:extLst>
            </xdr:cNvPr>
            <xdr:cNvSpPr txBox="1"/>
          </xdr:nvSpPr>
          <xdr:spPr>
            <a:xfrm>
              <a:off x="13518424394" y="221368937"/>
              <a:ext cx="224960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8BB87E7E-0177-77E0-BBB5-BF5032A6AF11}"/>
                </a:ext>
              </a:extLst>
            </xdr:cNvPr>
            <xdr:cNvSpPr txBox="1"/>
          </xdr:nvSpPr>
          <xdr:spPr>
            <a:xfrm>
              <a:off x="13518424394" y="221368937"/>
              <a:ext cx="224960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oneCellAnchor>
    <xdr:from>
      <xdr:col>5</xdr:col>
      <xdr:colOff>177800</xdr:colOff>
      <xdr:row>1090</xdr:row>
      <xdr:rowOff>20637</xdr:rowOff>
    </xdr:from>
    <xdr:ext cx="2249606" cy="345479"/>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F98C06EC-69A8-6F9E-D949-73325E4857C9}"/>
                </a:ext>
              </a:extLst>
            </xdr:cNvPr>
            <xdr:cNvSpPr txBox="1"/>
          </xdr:nvSpPr>
          <xdr:spPr>
            <a:xfrm>
              <a:off x="13518437094" y="221699137"/>
              <a:ext cx="2249606"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𝑆</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𝐷𝑖𝑣</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r>
                          <a:rPr lang="en-US" sz="1100" b="0" i="1">
                            <a:latin typeface="Cambria Math" panose="02040503050406030204" pitchFamily="18" charset="0"/>
                          </a:rPr>
                          <m:t>𝑔</m:t>
                        </m:r>
                      </m:den>
                    </m:f>
                  </m:oMath>
                </m:oMathPara>
              </a14:m>
              <a:endParaRPr lang="en-US" sz="1100"/>
            </a:p>
          </xdr:txBody>
        </xdr:sp>
      </mc:Choice>
      <mc:Fallback xmlns="">
        <xdr:sp macro="" textlink="">
          <xdr:nvSpPr>
            <xdr:cNvPr id="35" name="TextBox 34">
              <a:extLst>
                <a:ext uri="{FF2B5EF4-FFF2-40B4-BE49-F238E27FC236}">
                  <a16:creationId xmlns:a16="http://schemas.microsoft.com/office/drawing/2014/main" id="{F98C06EC-69A8-6F9E-D949-73325E4857C9}"/>
                </a:ext>
              </a:extLst>
            </xdr:cNvPr>
            <xdr:cNvSpPr txBox="1"/>
          </xdr:nvSpPr>
          <xdr:spPr>
            <a:xfrm>
              <a:off x="13518437094" y="221699137"/>
              <a:ext cx="2249606" cy="345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𝑃_𝑆=𝐷𝑖𝑣/(𝑘_𝐸−𝑔)</a:t>
              </a:r>
              <a:endParaRPr lang="en-US" sz="1100"/>
            </a:p>
          </xdr:txBody>
        </xdr:sp>
      </mc:Fallback>
    </mc:AlternateContent>
    <xdr:clientData/>
  </xdr:oneCellAnchor>
  <xdr:oneCellAnchor>
    <xdr:from>
      <xdr:col>2</xdr:col>
      <xdr:colOff>631825</xdr:colOff>
      <xdr:row>1088</xdr:row>
      <xdr:rowOff>188912</xdr:rowOff>
    </xdr:from>
    <xdr:ext cx="2249606"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0FBC5F06-D6A3-DB72-047A-9CFC76FAFB86}"/>
                </a:ext>
              </a:extLst>
            </xdr:cNvPr>
            <xdr:cNvSpPr txBox="1"/>
          </xdr:nvSpPr>
          <xdr:spPr>
            <a:xfrm>
              <a:off x="13520865969" y="221461012"/>
              <a:ext cx="224960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0FBC5F06-D6A3-DB72-047A-9CFC76FAFB86}"/>
                </a:ext>
              </a:extLst>
            </xdr:cNvPr>
            <xdr:cNvSpPr txBox="1"/>
          </xdr:nvSpPr>
          <xdr:spPr>
            <a:xfrm>
              <a:off x="13520865969" y="221461012"/>
              <a:ext cx="224960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oneCellAnchor>
    <xdr:from>
      <xdr:col>3</xdr:col>
      <xdr:colOff>212725</xdr:colOff>
      <xdr:row>1090</xdr:row>
      <xdr:rowOff>33337</xdr:rowOff>
    </xdr:from>
    <xdr:ext cx="2249606" cy="31758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FDC1047-CD47-F5A4-A127-FD4E461BA7A6}"/>
                </a:ext>
              </a:extLst>
            </xdr:cNvPr>
            <xdr:cNvSpPr txBox="1"/>
          </xdr:nvSpPr>
          <xdr:spPr>
            <a:xfrm>
              <a:off x="13520459569" y="221711837"/>
              <a:ext cx="2249606" cy="3175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𝑐𝑜𝑢𝑝𝑜𝑛</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en>
                    </m:f>
                  </m:oMath>
                </m:oMathPara>
              </a14:m>
              <a:endParaRPr lang="en-US" sz="1100"/>
            </a:p>
          </xdr:txBody>
        </xdr:sp>
      </mc:Choice>
      <mc:Fallback xmlns="">
        <xdr:sp macro="" textlink="">
          <xdr:nvSpPr>
            <xdr:cNvPr id="38" name="TextBox 37">
              <a:extLst>
                <a:ext uri="{FF2B5EF4-FFF2-40B4-BE49-F238E27FC236}">
                  <a16:creationId xmlns:a16="http://schemas.microsoft.com/office/drawing/2014/main" id="{5FDC1047-CD47-F5A4-A127-FD4E461BA7A6}"/>
                </a:ext>
              </a:extLst>
            </xdr:cNvPr>
            <xdr:cNvSpPr txBox="1"/>
          </xdr:nvSpPr>
          <xdr:spPr>
            <a:xfrm>
              <a:off x="13520459569" y="221711837"/>
              <a:ext cx="2249606" cy="3175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𝑘_𝐷=𝑐𝑜𝑢𝑝𝑜𝑛/𝑃_𝐵 </a:t>
              </a:r>
              <a:endParaRPr lang="en-US" sz="1100"/>
            </a:p>
          </xdr:txBody>
        </xdr:sp>
      </mc:Fallback>
    </mc:AlternateContent>
    <xdr:clientData/>
  </xdr:oneCellAnchor>
  <xdr:twoCellAnchor>
    <xdr:from>
      <xdr:col>3</xdr:col>
      <xdr:colOff>612775</xdr:colOff>
      <xdr:row>1090</xdr:row>
      <xdr:rowOff>50800</xdr:rowOff>
    </xdr:from>
    <xdr:to>
      <xdr:col>3</xdr:col>
      <xdr:colOff>831850</xdr:colOff>
      <xdr:row>1091</xdr:row>
      <xdr:rowOff>88900</xdr:rowOff>
    </xdr:to>
    <xdr:sp macro="" textlink="">
      <xdr:nvSpPr>
        <xdr:cNvPr id="40" name="Oval 39">
          <a:extLst>
            <a:ext uri="{FF2B5EF4-FFF2-40B4-BE49-F238E27FC236}">
              <a16:creationId xmlns:a16="http://schemas.microsoft.com/office/drawing/2014/main" id="{4D416B18-427E-A486-AD7D-9D76BAFD1F56}"/>
            </a:ext>
          </a:extLst>
        </xdr:cNvPr>
        <xdr:cNvSpPr/>
      </xdr:nvSpPr>
      <xdr:spPr>
        <a:xfrm>
          <a:off x="13522090050" y="22172930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2</xdr:col>
      <xdr:colOff>682625</xdr:colOff>
      <xdr:row>1088</xdr:row>
      <xdr:rowOff>133350</xdr:rowOff>
    </xdr:from>
    <xdr:to>
      <xdr:col>3</xdr:col>
      <xdr:colOff>76200</xdr:colOff>
      <xdr:row>1089</xdr:row>
      <xdr:rowOff>171450</xdr:rowOff>
    </xdr:to>
    <xdr:sp macro="" textlink="">
      <xdr:nvSpPr>
        <xdr:cNvPr id="41" name="Oval 40">
          <a:extLst>
            <a:ext uri="{FF2B5EF4-FFF2-40B4-BE49-F238E27FC236}">
              <a16:creationId xmlns:a16="http://schemas.microsoft.com/office/drawing/2014/main" id="{E3128CA3-25CB-4B59-EBAB-C4734CB95B05}"/>
            </a:ext>
          </a:extLst>
        </xdr:cNvPr>
        <xdr:cNvSpPr/>
      </xdr:nvSpPr>
      <xdr:spPr>
        <a:xfrm>
          <a:off x="13522845700" y="22140545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628650</xdr:colOff>
      <xdr:row>1090</xdr:row>
      <xdr:rowOff>85725</xdr:rowOff>
    </xdr:from>
    <xdr:to>
      <xdr:col>6</xdr:col>
      <xdr:colOff>22225</xdr:colOff>
      <xdr:row>1091</xdr:row>
      <xdr:rowOff>123825</xdr:rowOff>
    </xdr:to>
    <xdr:sp macro="" textlink="">
      <xdr:nvSpPr>
        <xdr:cNvPr id="42" name="Oval 41">
          <a:extLst>
            <a:ext uri="{FF2B5EF4-FFF2-40B4-BE49-F238E27FC236}">
              <a16:creationId xmlns:a16="http://schemas.microsoft.com/office/drawing/2014/main" id="{BE66FA65-1E4D-779A-9C99-D7264001D736}"/>
            </a:ext>
          </a:extLst>
        </xdr:cNvPr>
        <xdr:cNvSpPr/>
      </xdr:nvSpPr>
      <xdr:spPr>
        <a:xfrm>
          <a:off x="13520016775" y="221764225"/>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781050</xdr:colOff>
      <xdr:row>1088</xdr:row>
      <xdr:rowOff>120650</xdr:rowOff>
    </xdr:from>
    <xdr:to>
      <xdr:col>8</xdr:col>
      <xdr:colOff>174625</xdr:colOff>
      <xdr:row>1089</xdr:row>
      <xdr:rowOff>158750</xdr:rowOff>
    </xdr:to>
    <xdr:sp macro="" textlink="">
      <xdr:nvSpPr>
        <xdr:cNvPr id="43" name="Oval 42">
          <a:extLst>
            <a:ext uri="{FF2B5EF4-FFF2-40B4-BE49-F238E27FC236}">
              <a16:creationId xmlns:a16="http://schemas.microsoft.com/office/drawing/2014/main" id="{DAB183D5-CF6B-2394-1DD4-F614944EC1B6}"/>
            </a:ext>
          </a:extLst>
        </xdr:cNvPr>
        <xdr:cNvSpPr/>
      </xdr:nvSpPr>
      <xdr:spPr>
        <a:xfrm>
          <a:off x="13518213375" y="221392750"/>
          <a:ext cx="219075" cy="2413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287867</xdr:colOff>
      <xdr:row>21</xdr:row>
      <xdr:rowOff>182033</xdr:rowOff>
    </xdr:from>
    <xdr:ext cx="3867268"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907E9C80-207B-504E-980C-0464EB66A56F}"/>
                </a:ext>
              </a:extLst>
            </xdr:cNvPr>
            <xdr:cNvSpPr txBox="1"/>
          </xdr:nvSpPr>
          <xdr:spPr>
            <a:xfrm>
              <a:off x="13520214565" y="46524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b="0" i="1">
                            <a:latin typeface="Cambria Math" panose="02040503050406030204" pitchFamily="18" charset="0"/>
                          </a:rPr>
                        </m:ctrlPr>
                      </m:sSubPr>
                      <m:e>
                        <m:r>
                          <a:rPr lang="en-US" b="0" i="1">
                            <a:latin typeface="Cambria Math" panose="02040503050406030204" pitchFamily="18" charset="0"/>
                          </a:rPr>
                          <m:t>𝑅</m:t>
                        </m:r>
                      </m:e>
                      <m:sub>
                        <m:r>
                          <a:rPr lang="en-US"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6" name="TextBox 5">
              <a:extLst>
                <a:ext uri="{FF2B5EF4-FFF2-40B4-BE49-F238E27FC236}">
                  <a16:creationId xmlns:a16="http://schemas.microsoft.com/office/drawing/2014/main" id="{907E9C80-207B-504E-980C-0464EB66A56F}"/>
                </a:ext>
              </a:extLst>
            </xdr:cNvPr>
            <xdr:cNvSpPr txBox="1"/>
          </xdr:nvSpPr>
          <xdr:spPr>
            <a:xfrm>
              <a:off x="13520214565" y="4652433"/>
              <a:ext cx="38672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𝑟=𝑘_𝐸=</a:t>
              </a:r>
              <a:r>
                <a:rPr lang="en-US" b="0" i="0">
                  <a:latin typeface="Cambria Math" panose="02040503050406030204" pitchFamily="18" charset="0"/>
                </a:rPr>
                <a:t>𝑅_𝐹</a:t>
              </a:r>
              <a:r>
                <a:rPr lang="en-US" sz="1100" b="0" i="0">
                  <a:latin typeface="Cambria Math" panose="02040503050406030204" pitchFamily="18" charset="0"/>
                </a:rPr>
                <a:t>+[𝐸(𝑀)−𝑅_𝐹 ]∗𝛽</a:t>
              </a:r>
              <a:endParaRPr lang="en-US" sz="1100"/>
            </a:p>
          </xdr:txBody>
        </xdr:sp>
      </mc:Fallback>
    </mc:AlternateContent>
    <xdr:clientData/>
  </xdr:oneCellAnchor>
  <xdr:oneCellAnchor>
    <xdr:from>
      <xdr:col>2</xdr:col>
      <xdr:colOff>231751</xdr:colOff>
      <xdr:row>32</xdr:row>
      <xdr:rowOff>173165</xdr:rowOff>
    </xdr:from>
    <xdr:ext cx="2828464" cy="316882"/>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70739E6-98DB-DF4A-B999-2727C8644316}"/>
                </a:ext>
              </a:extLst>
            </xdr:cNvPr>
            <xdr:cNvSpPr txBox="1"/>
          </xdr:nvSpPr>
          <xdr:spPr>
            <a:xfrm>
              <a:off x="13520483985" y="6878765"/>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𝑊𝐴𝐶𝐶</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𝐸</m:t>
                        </m:r>
                      </m:num>
                      <m:den>
                        <m:r>
                          <a:rPr lang="en-US" sz="1100" b="0" i="1">
                            <a:latin typeface="Cambria Math" panose="02040503050406030204" pitchFamily="18" charset="0"/>
                          </a:rPr>
                          <m:t>𝑉</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𝐷</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𝑡</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m:t>
                        </m:r>
                      </m:num>
                      <m:den>
                        <m:r>
                          <a:rPr lang="en-US" sz="1100" b="0" i="1">
                            <a:latin typeface="Cambria Math" panose="02040503050406030204" pitchFamily="18" charset="0"/>
                          </a:rPr>
                          <m:t>𝑉</m:t>
                        </m:r>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270739E6-98DB-DF4A-B999-2727C8644316}"/>
                </a:ext>
              </a:extLst>
            </xdr:cNvPr>
            <xdr:cNvSpPr txBox="1"/>
          </xdr:nvSpPr>
          <xdr:spPr>
            <a:xfrm>
              <a:off x="13520483985" y="6878765"/>
              <a:ext cx="282846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𝑊𝐴𝐶𝐶=𝑘_𝐸∗𝐸/𝑉+𝑘_𝐷∗(1−𝑡)∗𝐷/𝑉</a:t>
              </a:r>
              <a:endParaRPr lang="en-US" sz="1100"/>
            </a:p>
          </xdr:txBody>
        </xdr:sp>
      </mc:Fallback>
    </mc:AlternateContent>
    <xdr:clientData/>
  </xdr:oneCellAnchor>
  <xdr:twoCellAnchor>
    <xdr:from>
      <xdr:col>3</xdr:col>
      <xdr:colOff>349050</xdr:colOff>
      <xdr:row>70</xdr:row>
      <xdr:rowOff>111350</xdr:rowOff>
    </xdr:from>
    <xdr:to>
      <xdr:col>3</xdr:col>
      <xdr:colOff>394769</xdr:colOff>
      <xdr:row>70</xdr:row>
      <xdr:rowOff>316350</xdr:rowOff>
    </xdr:to>
    <xdr:sp macro="" textlink="">
      <xdr:nvSpPr>
        <xdr:cNvPr id="8" name="Up Arrow 7">
          <a:extLst>
            <a:ext uri="{FF2B5EF4-FFF2-40B4-BE49-F238E27FC236}">
              <a16:creationId xmlns:a16="http://schemas.microsoft.com/office/drawing/2014/main" id="{9A6D74EA-8A52-A54F-A09C-8535135E3CDF}"/>
            </a:ext>
          </a:extLst>
        </xdr:cNvPr>
        <xdr:cNvSpPr/>
      </xdr:nvSpPr>
      <xdr:spPr>
        <a:xfrm>
          <a:off x="13522120731" y="66303750"/>
          <a:ext cx="45719" cy="2050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370000</xdr:colOff>
      <xdr:row>70</xdr:row>
      <xdr:rowOff>105000</xdr:rowOff>
    </xdr:from>
    <xdr:to>
      <xdr:col>5</xdr:col>
      <xdr:colOff>415719</xdr:colOff>
      <xdr:row>70</xdr:row>
      <xdr:rowOff>310000</xdr:rowOff>
    </xdr:to>
    <xdr:sp macro="" textlink="">
      <xdr:nvSpPr>
        <xdr:cNvPr id="9" name="Up Arrow 8">
          <a:extLst>
            <a:ext uri="{FF2B5EF4-FFF2-40B4-BE49-F238E27FC236}">
              <a16:creationId xmlns:a16="http://schemas.microsoft.com/office/drawing/2014/main" id="{F97FAC8C-88F3-044D-8128-E6A647B01D20}"/>
            </a:ext>
          </a:extLst>
        </xdr:cNvPr>
        <xdr:cNvSpPr/>
      </xdr:nvSpPr>
      <xdr:spPr>
        <a:xfrm>
          <a:off x="13520651981" y="14532200"/>
          <a:ext cx="45719" cy="1034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485000</xdr:colOff>
      <xdr:row>80</xdr:row>
      <xdr:rowOff>5000</xdr:rowOff>
    </xdr:from>
    <xdr:to>
      <xdr:col>3</xdr:col>
      <xdr:colOff>90000</xdr:colOff>
      <xdr:row>82</xdr:row>
      <xdr:rowOff>50000</xdr:rowOff>
    </xdr:to>
    <xdr:cxnSp macro="">
      <xdr:nvCxnSpPr>
        <xdr:cNvPr id="10" name="Straight Arrow Connector 9">
          <a:extLst>
            <a:ext uri="{FF2B5EF4-FFF2-40B4-BE49-F238E27FC236}">
              <a16:creationId xmlns:a16="http://schemas.microsoft.com/office/drawing/2014/main" id="{4A06E362-C9A6-FB49-B296-0811D81237C2}"/>
            </a:ext>
          </a:extLst>
        </xdr:cNvPr>
        <xdr:cNvCxnSpPr/>
      </xdr:nvCxnSpPr>
      <xdr:spPr>
        <a:xfrm>
          <a:off x="13522628700" y="16464200"/>
          <a:ext cx="430500" cy="451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340000</xdr:colOff>
      <xdr:row>85</xdr:row>
      <xdr:rowOff>10000</xdr:rowOff>
    </xdr:from>
    <xdr:to>
      <xdr:col>2</xdr:col>
      <xdr:colOff>345000</xdr:colOff>
      <xdr:row>86</xdr:row>
      <xdr:rowOff>130000</xdr:rowOff>
    </xdr:to>
    <xdr:cxnSp macro="">
      <xdr:nvCxnSpPr>
        <xdr:cNvPr id="11" name="Straight Arrow Connector 10">
          <a:extLst>
            <a:ext uri="{FF2B5EF4-FFF2-40B4-BE49-F238E27FC236}">
              <a16:creationId xmlns:a16="http://schemas.microsoft.com/office/drawing/2014/main" id="{EF9EB546-2FCE-0440-B780-996A0FCD54F8}"/>
            </a:ext>
          </a:extLst>
        </xdr:cNvPr>
        <xdr:cNvCxnSpPr/>
      </xdr:nvCxnSpPr>
      <xdr:spPr>
        <a:xfrm>
          <a:off x="13523199200" y="17485200"/>
          <a:ext cx="5000" cy="323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645000</xdr:colOff>
      <xdr:row>79</xdr:row>
      <xdr:rowOff>195000</xdr:rowOff>
    </xdr:from>
    <xdr:to>
      <xdr:col>4</xdr:col>
      <xdr:colOff>310000</xdr:colOff>
      <xdr:row>82</xdr:row>
      <xdr:rowOff>0</xdr:rowOff>
    </xdr:to>
    <xdr:cxnSp macro="">
      <xdr:nvCxnSpPr>
        <xdr:cNvPr id="12" name="Straight Arrow Connector 11">
          <a:extLst>
            <a:ext uri="{FF2B5EF4-FFF2-40B4-BE49-F238E27FC236}">
              <a16:creationId xmlns:a16="http://schemas.microsoft.com/office/drawing/2014/main" id="{18DBE3B7-F99C-6C4C-84CE-D28850AFC8B8}"/>
            </a:ext>
          </a:extLst>
        </xdr:cNvPr>
        <xdr:cNvCxnSpPr/>
      </xdr:nvCxnSpPr>
      <xdr:spPr>
        <a:xfrm flipH="1">
          <a:off x="13521583200" y="16451000"/>
          <a:ext cx="490500" cy="414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750000</xdr:colOff>
      <xdr:row>84</xdr:row>
      <xdr:rowOff>15000</xdr:rowOff>
    </xdr:from>
    <xdr:to>
      <xdr:col>5</xdr:col>
      <xdr:colOff>755000</xdr:colOff>
      <xdr:row>86</xdr:row>
      <xdr:rowOff>140000</xdr:rowOff>
    </xdr:to>
    <xdr:cxnSp macro="">
      <xdr:nvCxnSpPr>
        <xdr:cNvPr id="13" name="Straight Arrow Connector 12">
          <a:extLst>
            <a:ext uri="{FF2B5EF4-FFF2-40B4-BE49-F238E27FC236}">
              <a16:creationId xmlns:a16="http://schemas.microsoft.com/office/drawing/2014/main" id="{760012BB-AB03-984A-8FE3-595FFBCC68D3}"/>
            </a:ext>
          </a:extLst>
        </xdr:cNvPr>
        <xdr:cNvCxnSpPr/>
      </xdr:nvCxnSpPr>
      <xdr:spPr>
        <a:xfrm flipH="1">
          <a:off x="13520312700" y="17287000"/>
          <a:ext cx="5000" cy="531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460000</xdr:colOff>
      <xdr:row>146</xdr:row>
      <xdr:rowOff>125000</xdr:rowOff>
    </xdr:from>
    <xdr:to>
      <xdr:col>3</xdr:col>
      <xdr:colOff>530000</xdr:colOff>
      <xdr:row>147</xdr:row>
      <xdr:rowOff>50000</xdr:rowOff>
    </xdr:to>
    <xdr:sp macro="" textlink="">
      <xdr:nvSpPr>
        <xdr:cNvPr id="14" name="Up Arrow 13">
          <a:extLst>
            <a:ext uri="{FF2B5EF4-FFF2-40B4-BE49-F238E27FC236}">
              <a16:creationId xmlns:a16="http://schemas.microsoft.com/office/drawing/2014/main" id="{03560CAD-990B-3B4E-8FC6-E2FF6FFDD3EF}"/>
            </a:ext>
          </a:extLst>
        </xdr:cNvPr>
        <xdr:cNvSpPr/>
      </xdr:nvSpPr>
      <xdr:spPr>
        <a:xfrm>
          <a:off x="13522188700" y="29182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30000</xdr:colOff>
      <xdr:row>149</xdr:row>
      <xdr:rowOff>115000</xdr:rowOff>
    </xdr:from>
    <xdr:to>
      <xdr:col>5</xdr:col>
      <xdr:colOff>100000</xdr:colOff>
      <xdr:row>150</xdr:row>
      <xdr:rowOff>40000</xdr:rowOff>
    </xdr:to>
    <xdr:sp macro="" textlink="">
      <xdr:nvSpPr>
        <xdr:cNvPr id="15" name="Up Arrow 14">
          <a:extLst>
            <a:ext uri="{FF2B5EF4-FFF2-40B4-BE49-F238E27FC236}">
              <a16:creationId xmlns:a16="http://schemas.microsoft.com/office/drawing/2014/main" id="{731E7489-8967-4947-AFA6-DD4031DAC71F}"/>
            </a:ext>
          </a:extLst>
        </xdr:cNvPr>
        <xdr:cNvSpPr/>
      </xdr:nvSpPr>
      <xdr:spPr>
        <a:xfrm>
          <a:off x="13520967700" y="297822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149</xdr:row>
      <xdr:rowOff>125000</xdr:rowOff>
    </xdr:from>
    <xdr:to>
      <xdr:col>3</xdr:col>
      <xdr:colOff>530000</xdr:colOff>
      <xdr:row>150</xdr:row>
      <xdr:rowOff>50000</xdr:rowOff>
    </xdr:to>
    <xdr:sp macro="" textlink="">
      <xdr:nvSpPr>
        <xdr:cNvPr id="16" name="Up Arrow 15">
          <a:extLst>
            <a:ext uri="{FF2B5EF4-FFF2-40B4-BE49-F238E27FC236}">
              <a16:creationId xmlns:a16="http://schemas.microsoft.com/office/drawing/2014/main" id="{0B1D9D9A-E5BD-C744-BD36-C6D1694DD6D0}"/>
            </a:ext>
          </a:extLst>
        </xdr:cNvPr>
        <xdr:cNvSpPr/>
      </xdr:nvSpPr>
      <xdr:spPr>
        <a:xfrm>
          <a:off x="13522188700" y="297922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30000</xdr:colOff>
      <xdr:row>160</xdr:row>
      <xdr:rowOff>115000</xdr:rowOff>
    </xdr:from>
    <xdr:to>
      <xdr:col>5</xdr:col>
      <xdr:colOff>100000</xdr:colOff>
      <xdr:row>161</xdr:row>
      <xdr:rowOff>40000</xdr:rowOff>
    </xdr:to>
    <xdr:sp macro="" textlink="">
      <xdr:nvSpPr>
        <xdr:cNvPr id="17" name="Up Arrow 16">
          <a:extLst>
            <a:ext uri="{FF2B5EF4-FFF2-40B4-BE49-F238E27FC236}">
              <a16:creationId xmlns:a16="http://schemas.microsoft.com/office/drawing/2014/main" id="{6FA2BC14-CE49-174F-A2CF-1722E1597642}"/>
            </a:ext>
          </a:extLst>
        </xdr:cNvPr>
        <xdr:cNvSpPr/>
      </xdr:nvSpPr>
      <xdr:spPr>
        <a:xfrm>
          <a:off x="13520967700" y="3120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160</xdr:row>
      <xdr:rowOff>125000</xdr:rowOff>
    </xdr:from>
    <xdr:to>
      <xdr:col>3</xdr:col>
      <xdr:colOff>530000</xdr:colOff>
      <xdr:row>161</xdr:row>
      <xdr:rowOff>50000</xdr:rowOff>
    </xdr:to>
    <xdr:sp macro="" textlink="">
      <xdr:nvSpPr>
        <xdr:cNvPr id="18" name="Up Arrow 17">
          <a:extLst>
            <a:ext uri="{FF2B5EF4-FFF2-40B4-BE49-F238E27FC236}">
              <a16:creationId xmlns:a16="http://schemas.microsoft.com/office/drawing/2014/main" id="{B7B6A7EE-5241-6840-9198-37E4527D3C12}"/>
            </a:ext>
          </a:extLst>
        </xdr:cNvPr>
        <xdr:cNvSpPr/>
      </xdr:nvSpPr>
      <xdr:spPr>
        <a:xfrm>
          <a:off x="13522188700" y="3121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505000</xdr:colOff>
      <xdr:row>153</xdr:row>
      <xdr:rowOff>101825</xdr:rowOff>
    </xdr:from>
    <xdr:to>
      <xdr:col>4</xdr:col>
      <xdr:colOff>575000</xdr:colOff>
      <xdr:row>154</xdr:row>
      <xdr:rowOff>26825</xdr:rowOff>
    </xdr:to>
    <xdr:sp macro="" textlink="">
      <xdr:nvSpPr>
        <xdr:cNvPr id="19" name="Up Arrow 18">
          <a:extLst>
            <a:ext uri="{FF2B5EF4-FFF2-40B4-BE49-F238E27FC236}">
              <a16:creationId xmlns:a16="http://schemas.microsoft.com/office/drawing/2014/main" id="{E46641C3-3186-CE4C-9905-FDFEF12B3FD2}"/>
            </a:ext>
          </a:extLst>
        </xdr:cNvPr>
        <xdr:cNvSpPr/>
      </xdr:nvSpPr>
      <xdr:spPr>
        <a:xfrm rot="10800000">
          <a:off x="13521115000" y="82499425"/>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485000</xdr:colOff>
      <xdr:row>160</xdr:row>
      <xdr:rowOff>105000</xdr:rowOff>
    </xdr:from>
    <xdr:to>
      <xdr:col>4</xdr:col>
      <xdr:colOff>555000</xdr:colOff>
      <xdr:row>161</xdr:row>
      <xdr:rowOff>30000</xdr:rowOff>
    </xdr:to>
    <xdr:sp macro="" textlink="">
      <xdr:nvSpPr>
        <xdr:cNvPr id="20" name="Up Arrow 19">
          <a:extLst>
            <a:ext uri="{FF2B5EF4-FFF2-40B4-BE49-F238E27FC236}">
              <a16:creationId xmlns:a16="http://schemas.microsoft.com/office/drawing/2014/main" id="{8581516F-D5B4-4940-ABBE-E4F64A2AA66D}"/>
            </a:ext>
          </a:extLst>
        </xdr:cNvPr>
        <xdr:cNvSpPr/>
      </xdr:nvSpPr>
      <xdr:spPr>
        <a:xfrm rot="10800000">
          <a:off x="13521338200" y="311946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375000</xdr:colOff>
      <xdr:row>160</xdr:row>
      <xdr:rowOff>20000</xdr:rowOff>
    </xdr:from>
    <xdr:to>
      <xdr:col>5</xdr:col>
      <xdr:colOff>785000</xdr:colOff>
      <xdr:row>161</xdr:row>
      <xdr:rowOff>45000</xdr:rowOff>
    </xdr:to>
    <xdr:sp macro="" textlink="">
      <xdr:nvSpPr>
        <xdr:cNvPr id="21" name="Equal 20">
          <a:extLst>
            <a:ext uri="{FF2B5EF4-FFF2-40B4-BE49-F238E27FC236}">
              <a16:creationId xmlns:a16="http://schemas.microsoft.com/office/drawing/2014/main" id="{886FDE8B-4468-024F-B5B5-74BAD3E99D7A}"/>
            </a:ext>
          </a:extLst>
        </xdr:cNvPr>
        <xdr:cNvSpPr/>
      </xdr:nvSpPr>
      <xdr:spPr>
        <a:xfrm>
          <a:off x="13520282700" y="31109600"/>
          <a:ext cx="410000" cy="228200"/>
        </a:xfrm>
        <a:prstGeom prst="mathEqual">
          <a:avLst>
            <a:gd name="adj1" fmla="val 23520"/>
            <a:gd name="adj2" fmla="val 2480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solidFill>
              <a:schemeClr val="tx1"/>
            </a:solidFill>
          </a:endParaRPr>
        </a:p>
      </xdr:txBody>
    </xdr:sp>
    <xdr:clientData/>
  </xdr:twoCellAnchor>
  <xdr:twoCellAnchor>
    <xdr:from>
      <xdr:col>5</xdr:col>
      <xdr:colOff>30000</xdr:colOff>
      <xdr:row>153</xdr:row>
      <xdr:rowOff>115000</xdr:rowOff>
    </xdr:from>
    <xdr:to>
      <xdr:col>5</xdr:col>
      <xdr:colOff>100000</xdr:colOff>
      <xdr:row>154</xdr:row>
      <xdr:rowOff>40000</xdr:rowOff>
    </xdr:to>
    <xdr:sp macro="" textlink="">
      <xdr:nvSpPr>
        <xdr:cNvPr id="30" name="Up Arrow 29">
          <a:extLst>
            <a:ext uri="{FF2B5EF4-FFF2-40B4-BE49-F238E27FC236}">
              <a16:creationId xmlns:a16="http://schemas.microsoft.com/office/drawing/2014/main" id="{2E235525-E807-2B4B-B4B0-18C3C75B57BB}"/>
            </a:ext>
          </a:extLst>
        </xdr:cNvPr>
        <xdr:cNvSpPr/>
      </xdr:nvSpPr>
      <xdr:spPr>
        <a:xfrm>
          <a:off x="13520764500" y="816998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460000</xdr:colOff>
      <xdr:row>153</xdr:row>
      <xdr:rowOff>125000</xdr:rowOff>
    </xdr:from>
    <xdr:to>
      <xdr:col>3</xdr:col>
      <xdr:colOff>530000</xdr:colOff>
      <xdr:row>154</xdr:row>
      <xdr:rowOff>50000</xdr:rowOff>
    </xdr:to>
    <xdr:sp macro="" textlink="">
      <xdr:nvSpPr>
        <xdr:cNvPr id="31" name="Up Arrow 30">
          <a:extLst>
            <a:ext uri="{FF2B5EF4-FFF2-40B4-BE49-F238E27FC236}">
              <a16:creationId xmlns:a16="http://schemas.microsoft.com/office/drawing/2014/main" id="{266D8408-3171-D640-B37A-59AFF5086583}"/>
            </a:ext>
          </a:extLst>
        </xdr:cNvPr>
        <xdr:cNvSpPr/>
      </xdr:nvSpPr>
      <xdr:spPr>
        <a:xfrm>
          <a:off x="13521985500" y="81709800"/>
          <a:ext cx="70000" cy="128200"/>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19896</xdr:colOff>
      <xdr:row>61</xdr:row>
      <xdr:rowOff>23212</xdr:rowOff>
    </xdr:from>
    <xdr:to>
      <xdr:col>9</xdr:col>
      <xdr:colOff>691629</xdr:colOff>
      <xdr:row>66</xdr:row>
      <xdr:rowOff>86214</xdr:rowOff>
    </xdr:to>
    <xdr:pic>
      <xdr:nvPicPr>
        <xdr:cNvPr id="3" name="Picture 2">
          <a:extLst>
            <a:ext uri="{FF2B5EF4-FFF2-40B4-BE49-F238E27FC236}">
              <a16:creationId xmlns:a16="http://schemas.microsoft.com/office/drawing/2014/main" id="{D1AED049-FC1F-30D1-0134-4E93D052632A}"/>
            </a:ext>
          </a:extLst>
        </xdr:cNvPr>
        <xdr:cNvPicPr>
          <a:picLocks noChangeAspect="1"/>
        </xdr:cNvPicPr>
      </xdr:nvPicPr>
      <xdr:blipFill>
        <a:blip xmlns:r="http://schemas.openxmlformats.org/officeDocument/2006/relationships" r:embed="rId1"/>
        <a:stretch>
          <a:fillRect/>
        </a:stretch>
      </xdr:blipFill>
      <xdr:spPr>
        <a:xfrm>
          <a:off x="13519585786" y="12414831"/>
          <a:ext cx="3148730" cy="1074360"/>
        </a:xfrm>
        <a:prstGeom prst="rect">
          <a:avLst/>
        </a:prstGeom>
      </xdr:spPr>
    </xdr:pic>
    <xdr:clientData/>
  </xdr:twoCellAnchor>
  <xdr:twoCellAnchor editAs="oneCell">
    <xdr:from>
      <xdr:col>1</xdr:col>
      <xdr:colOff>205587</xdr:colOff>
      <xdr:row>113</xdr:row>
      <xdr:rowOff>47213</xdr:rowOff>
    </xdr:from>
    <xdr:to>
      <xdr:col>8</xdr:col>
      <xdr:colOff>566891</xdr:colOff>
      <xdr:row>116</xdr:row>
      <xdr:rowOff>179790</xdr:rowOff>
    </xdr:to>
    <xdr:pic>
      <xdr:nvPicPr>
        <xdr:cNvPr id="5" name="Picture 4">
          <a:extLst>
            <a:ext uri="{FF2B5EF4-FFF2-40B4-BE49-F238E27FC236}">
              <a16:creationId xmlns:a16="http://schemas.microsoft.com/office/drawing/2014/main" id="{46E2F921-A893-11C0-474E-8B4C88B0F6EF}"/>
            </a:ext>
          </a:extLst>
        </xdr:cNvPr>
        <xdr:cNvPicPr>
          <a:picLocks noChangeAspect="1"/>
        </xdr:cNvPicPr>
      </xdr:nvPicPr>
      <xdr:blipFill>
        <a:blip xmlns:r="http://schemas.openxmlformats.org/officeDocument/2006/relationships" r:embed="rId2"/>
        <a:stretch>
          <a:fillRect/>
        </a:stretch>
      </xdr:blipFill>
      <xdr:spPr>
        <a:xfrm>
          <a:off x="13520536190" y="23112800"/>
          <a:ext cx="6140964" cy="739392"/>
        </a:xfrm>
        <a:prstGeom prst="rect">
          <a:avLst/>
        </a:prstGeom>
      </xdr:spPr>
    </xdr:pic>
    <xdr:clientData/>
  </xdr:twoCellAnchor>
  <xdr:twoCellAnchor editAs="oneCell">
    <xdr:from>
      <xdr:col>6</xdr:col>
      <xdr:colOff>139700</xdr:colOff>
      <xdr:row>142</xdr:row>
      <xdr:rowOff>35578</xdr:rowOff>
    </xdr:from>
    <xdr:to>
      <xdr:col>9</xdr:col>
      <xdr:colOff>187325</xdr:colOff>
      <xdr:row>150</xdr:row>
      <xdr:rowOff>117474</xdr:rowOff>
    </xdr:to>
    <xdr:pic>
      <xdr:nvPicPr>
        <xdr:cNvPr id="23" name="Picture 22">
          <a:extLst>
            <a:ext uri="{FF2B5EF4-FFF2-40B4-BE49-F238E27FC236}">
              <a16:creationId xmlns:a16="http://schemas.microsoft.com/office/drawing/2014/main" id="{5E6537CE-428B-B30C-FCFC-FC1C5259607C}"/>
            </a:ext>
          </a:extLst>
        </xdr:cNvPr>
        <xdr:cNvPicPr>
          <a:picLocks noChangeAspect="1"/>
        </xdr:cNvPicPr>
      </xdr:nvPicPr>
      <xdr:blipFill>
        <a:blip xmlns:r="http://schemas.openxmlformats.org/officeDocument/2006/relationships" r:embed="rId3"/>
        <a:stretch>
          <a:fillRect/>
        </a:stretch>
      </xdr:blipFill>
      <xdr:spPr>
        <a:xfrm>
          <a:off x="13517375175" y="29093178"/>
          <a:ext cx="2524125" cy="1707496"/>
        </a:xfrm>
        <a:prstGeom prst="rect">
          <a:avLst/>
        </a:prstGeom>
      </xdr:spPr>
    </xdr:pic>
    <xdr:clientData/>
  </xdr:twoCellAnchor>
  <xdr:oneCellAnchor>
    <xdr:from>
      <xdr:col>2</xdr:col>
      <xdr:colOff>552451</xdr:colOff>
      <xdr:row>308</xdr:row>
      <xdr:rowOff>28575</xdr:rowOff>
    </xdr:from>
    <xdr:ext cx="2619493"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4FC33EC0-2004-D1C0-7A78-7F17AA7E3A0C}"/>
                </a:ext>
              </a:extLst>
            </xdr:cNvPr>
            <xdr:cNvSpPr txBox="1"/>
          </xdr:nvSpPr>
          <xdr:spPr>
            <a:xfrm>
              <a:off x="13520169056" y="62842775"/>
              <a:ext cx="26194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𝑘</m:t>
                        </m:r>
                      </m:e>
                      <m:sub>
                        <m:r>
                          <a:rPr lang="en-US" sz="1100" b="0" i="1">
                            <a:latin typeface="Cambria Math" panose="02040503050406030204" pitchFamily="18" charset="0"/>
                          </a:rPr>
                          <m:t>𝐸</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𝐸</m:t>
                        </m:r>
                        <m:d>
                          <m:dPr>
                            <m:ctrlPr>
                              <a:rPr lang="en-US" sz="1100" b="0" i="1">
                                <a:latin typeface="Cambria Math" panose="02040503050406030204" pitchFamily="18" charset="0"/>
                              </a:rPr>
                            </m:ctrlPr>
                          </m:dPr>
                          <m:e>
                            <m:r>
                              <a:rPr lang="en-US" sz="1100" b="0" i="1">
                                <a:latin typeface="Cambria Math" panose="02040503050406030204" pitchFamily="18" charset="0"/>
                              </a:rPr>
                              <m:t>𝑀</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𝐹</m:t>
                            </m:r>
                          </m:sub>
                        </m:sSub>
                      </m:e>
                    </m:d>
                    <m:r>
                      <a:rPr lang="en-US" sz="1100" b="0" i="1">
                        <a:latin typeface="Cambria Math" panose="02040503050406030204" pitchFamily="18" charset="0"/>
                      </a:rPr>
                      <m:t>∗</m:t>
                    </m:r>
                    <m:r>
                      <a:rPr lang="en-US" sz="1100" b="0" i="1">
                        <a:latin typeface="Cambria Math" panose="02040503050406030204" pitchFamily="18" charset="0"/>
                      </a:rPr>
                      <m:t>𝛽</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4FC33EC0-2004-D1C0-7A78-7F17AA7E3A0C}"/>
                </a:ext>
              </a:extLst>
            </xdr:cNvPr>
            <xdr:cNvSpPr txBox="1"/>
          </xdr:nvSpPr>
          <xdr:spPr>
            <a:xfrm>
              <a:off x="13520169056" y="62842775"/>
              <a:ext cx="26194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𝑘_𝐸=𝑅_𝐹+[𝐸(𝑀)−𝑅_𝐹 ]∗𝛽</a:t>
              </a:r>
              <a:endParaRPr lang="en-US" sz="1100"/>
            </a:p>
          </xdr:txBody>
        </xdr:sp>
      </mc:Fallback>
    </mc:AlternateContent>
    <xdr:clientData/>
  </xdr:oneCellAnchor>
  <xdr:twoCellAnchor editAs="oneCell">
    <xdr:from>
      <xdr:col>0</xdr:col>
      <xdr:colOff>1</xdr:colOff>
      <xdr:row>333</xdr:row>
      <xdr:rowOff>0</xdr:rowOff>
    </xdr:from>
    <xdr:to>
      <xdr:col>7</xdr:col>
      <xdr:colOff>346076</xdr:colOff>
      <xdr:row>345</xdr:row>
      <xdr:rowOff>71671</xdr:rowOff>
    </xdr:to>
    <xdr:pic>
      <xdr:nvPicPr>
        <xdr:cNvPr id="25" name="Picture 24">
          <a:extLst>
            <a:ext uri="{FF2B5EF4-FFF2-40B4-BE49-F238E27FC236}">
              <a16:creationId xmlns:a16="http://schemas.microsoft.com/office/drawing/2014/main" id="{120100BA-89FF-E95E-80BA-04AF93D712AF}"/>
            </a:ext>
          </a:extLst>
        </xdr:cNvPr>
        <xdr:cNvPicPr>
          <a:picLocks noChangeAspect="1"/>
        </xdr:cNvPicPr>
      </xdr:nvPicPr>
      <xdr:blipFill>
        <a:blip xmlns:r="http://schemas.openxmlformats.org/officeDocument/2006/relationships" r:embed="rId4"/>
        <a:stretch>
          <a:fillRect/>
        </a:stretch>
      </xdr:blipFill>
      <xdr:spPr>
        <a:xfrm>
          <a:off x="13518867424" y="67894200"/>
          <a:ext cx="6124575" cy="2510071"/>
        </a:xfrm>
        <a:prstGeom prst="rect">
          <a:avLst/>
        </a:prstGeom>
      </xdr:spPr>
    </xdr:pic>
    <xdr:clientData/>
  </xdr:twoCellAnchor>
  <xdr:twoCellAnchor editAs="oneCell">
    <xdr:from>
      <xdr:col>0</xdr:col>
      <xdr:colOff>0</xdr:colOff>
      <xdr:row>351</xdr:row>
      <xdr:rowOff>195562</xdr:rowOff>
    </xdr:from>
    <xdr:to>
      <xdr:col>7</xdr:col>
      <xdr:colOff>273050</xdr:colOff>
      <xdr:row>362</xdr:row>
      <xdr:rowOff>77223</xdr:rowOff>
    </xdr:to>
    <xdr:pic>
      <xdr:nvPicPr>
        <xdr:cNvPr id="26" name="Picture 25">
          <a:extLst>
            <a:ext uri="{FF2B5EF4-FFF2-40B4-BE49-F238E27FC236}">
              <a16:creationId xmlns:a16="http://schemas.microsoft.com/office/drawing/2014/main" id="{E393F1DC-EE4B-361C-1AA5-4BD1A8C3F525}"/>
            </a:ext>
          </a:extLst>
        </xdr:cNvPr>
        <xdr:cNvPicPr>
          <a:picLocks noChangeAspect="1"/>
        </xdr:cNvPicPr>
      </xdr:nvPicPr>
      <xdr:blipFill>
        <a:blip xmlns:r="http://schemas.openxmlformats.org/officeDocument/2006/relationships" r:embed="rId5"/>
        <a:stretch>
          <a:fillRect/>
        </a:stretch>
      </xdr:blipFill>
      <xdr:spPr>
        <a:xfrm>
          <a:off x="13518940450" y="71747362"/>
          <a:ext cx="6051550" cy="2116861"/>
        </a:xfrm>
        <a:prstGeom prst="rect">
          <a:avLst/>
        </a:prstGeom>
      </xdr:spPr>
    </xdr:pic>
    <xdr:clientData/>
  </xdr:twoCellAnchor>
  <xdr:twoCellAnchor editAs="oneCell">
    <xdr:from>
      <xdr:col>0</xdr:col>
      <xdr:colOff>38100</xdr:colOff>
      <xdr:row>363</xdr:row>
      <xdr:rowOff>114300</xdr:rowOff>
    </xdr:from>
    <xdr:to>
      <xdr:col>7</xdr:col>
      <xdr:colOff>3658</xdr:colOff>
      <xdr:row>378</xdr:row>
      <xdr:rowOff>69386</xdr:rowOff>
    </xdr:to>
    <xdr:pic>
      <xdr:nvPicPr>
        <xdr:cNvPr id="27" name="Picture 26">
          <a:extLst>
            <a:ext uri="{FF2B5EF4-FFF2-40B4-BE49-F238E27FC236}">
              <a16:creationId xmlns:a16="http://schemas.microsoft.com/office/drawing/2014/main" id="{E499FB7C-B69E-C718-65E3-BBB976CC1E7F}"/>
            </a:ext>
          </a:extLst>
        </xdr:cNvPr>
        <xdr:cNvPicPr>
          <a:picLocks noChangeAspect="1"/>
        </xdr:cNvPicPr>
      </xdr:nvPicPr>
      <xdr:blipFill>
        <a:blip xmlns:r="http://schemas.openxmlformats.org/officeDocument/2006/relationships" r:embed="rId6"/>
        <a:stretch>
          <a:fillRect/>
        </a:stretch>
      </xdr:blipFill>
      <xdr:spPr>
        <a:xfrm>
          <a:off x="13519209842" y="74104500"/>
          <a:ext cx="5744058" cy="3003086"/>
        </a:xfrm>
        <a:prstGeom prst="rect">
          <a:avLst/>
        </a:prstGeom>
      </xdr:spPr>
    </xdr:pic>
    <xdr:clientData/>
  </xdr:twoCellAnchor>
  <xdr:twoCellAnchor editAs="oneCell">
    <xdr:from>
      <xdr:col>0</xdr:col>
      <xdr:colOff>12701</xdr:colOff>
      <xdr:row>381</xdr:row>
      <xdr:rowOff>6350</xdr:rowOff>
    </xdr:from>
    <xdr:to>
      <xdr:col>7</xdr:col>
      <xdr:colOff>106846</xdr:colOff>
      <xdr:row>400</xdr:row>
      <xdr:rowOff>149974</xdr:rowOff>
    </xdr:to>
    <xdr:pic>
      <xdr:nvPicPr>
        <xdr:cNvPr id="28" name="Picture 27">
          <a:extLst>
            <a:ext uri="{FF2B5EF4-FFF2-40B4-BE49-F238E27FC236}">
              <a16:creationId xmlns:a16="http://schemas.microsoft.com/office/drawing/2014/main" id="{7B1D0894-86F8-F921-A948-36A8BC543100}"/>
            </a:ext>
          </a:extLst>
        </xdr:cNvPr>
        <xdr:cNvPicPr>
          <a:picLocks noChangeAspect="1"/>
        </xdr:cNvPicPr>
      </xdr:nvPicPr>
      <xdr:blipFill>
        <a:blip xmlns:r="http://schemas.openxmlformats.org/officeDocument/2006/relationships" r:embed="rId7"/>
        <a:stretch>
          <a:fillRect/>
        </a:stretch>
      </xdr:blipFill>
      <xdr:spPr>
        <a:xfrm>
          <a:off x="13519106654" y="77654150"/>
          <a:ext cx="5872645" cy="4004424"/>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1D9B62-D570-FA42-80E2-E21F6B88A0A2}">
  <dimension ref="A1:H66"/>
  <sheetViews>
    <sheetView rightToLeft="1" topLeftCell="A32" zoomScale="292" workbookViewId="0">
      <selection activeCell="D50" sqref="D50"/>
    </sheetView>
  </sheetViews>
  <sheetFormatPr baseColWidth="10" defaultColWidth="10.83203125" defaultRowHeight="16" x14ac:dyDescent="0.2"/>
  <cols>
    <col min="1" max="4" width="10.83203125" style="1"/>
    <col min="5" max="5" width="14" style="1" customWidth="1"/>
    <col min="6" max="16384" width="10.83203125" style="1"/>
  </cols>
  <sheetData>
    <row r="1" spans="1:8" ht="24" thickBot="1" x14ac:dyDescent="0.3">
      <c r="A1" s="559" t="s">
        <v>0</v>
      </c>
      <c r="B1" s="560"/>
      <c r="C1" s="560"/>
      <c r="D1" s="560"/>
      <c r="E1" s="560"/>
      <c r="F1" s="560"/>
      <c r="G1" s="560"/>
      <c r="H1" s="561"/>
    </row>
    <row r="3" spans="1:8" x14ac:dyDescent="0.2">
      <c r="A3" s="1" t="s">
        <v>3228</v>
      </c>
    </row>
    <row r="4" spans="1:8" x14ac:dyDescent="0.2">
      <c r="A4" s="1" t="s">
        <v>1</v>
      </c>
      <c r="B4" s="562" t="s">
        <v>2</v>
      </c>
      <c r="C4" s="562"/>
      <c r="D4" s="4"/>
      <c r="E4" s="371" t="s">
        <v>2431</v>
      </c>
      <c r="F4" s="371"/>
      <c r="G4" s="371"/>
      <c r="H4" s="371"/>
    </row>
    <row r="5" spans="1:8" x14ac:dyDescent="0.2">
      <c r="A5" s="1" t="s">
        <v>3</v>
      </c>
      <c r="B5" s="1" t="s">
        <v>4</v>
      </c>
      <c r="D5" s="4"/>
      <c r="E5" s="371" t="s">
        <v>2443</v>
      </c>
      <c r="F5" s="371"/>
      <c r="G5" s="371"/>
      <c r="H5" s="371"/>
    </row>
    <row r="6" spans="1:8" ht="17" thickBot="1" x14ac:dyDescent="0.25"/>
    <row r="7" spans="1:8" x14ac:dyDescent="0.2">
      <c r="A7" s="16" t="s">
        <v>5</v>
      </c>
      <c r="B7" s="17"/>
      <c r="C7" s="17"/>
      <c r="D7" s="17"/>
      <c r="E7" s="17"/>
      <c r="F7" s="17"/>
      <c r="G7" s="17"/>
      <c r="H7" s="18"/>
    </row>
    <row r="8" spans="1:8" ht="17" thickBot="1" x14ac:dyDescent="0.25">
      <c r="A8" s="21" t="s">
        <v>6</v>
      </c>
      <c r="B8" s="308">
        <v>1</v>
      </c>
      <c r="C8" s="22"/>
      <c r="D8" s="22"/>
      <c r="E8" s="22"/>
      <c r="F8" s="22"/>
      <c r="G8" s="22"/>
      <c r="H8" s="23"/>
    </row>
    <row r="9" spans="1:8" ht="17" thickBot="1" x14ac:dyDescent="0.25"/>
    <row r="10" spans="1:8" x14ac:dyDescent="0.2">
      <c r="A10" s="57" t="s">
        <v>7</v>
      </c>
      <c r="B10" s="17"/>
      <c r="C10" s="17"/>
      <c r="D10" s="17"/>
      <c r="E10" s="17"/>
      <c r="F10" s="17"/>
      <c r="G10" s="17"/>
      <c r="H10" s="18"/>
    </row>
    <row r="11" spans="1:8" x14ac:dyDescent="0.2">
      <c r="A11" s="19" t="s">
        <v>8</v>
      </c>
      <c r="H11" s="20"/>
    </row>
    <row r="12" spans="1:8" ht="17" thickBot="1" x14ac:dyDescent="0.25">
      <c r="A12" s="21" t="s">
        <v>9</v>
      </c>
      <c r="B12" s="22"/>
      <c r="C12" s="22"/>
      <c r="D12" s="22"/>
      <c r="E12" s="22"/>
      <c r="F12" s="22"/>
      <c r="G12" s="22"/>
      <c r="H12" s="23"/>
    </row>
    <row r="13" spans="1:8" ht="17" thickBot="1" x14ac:dyDescent="0.25"/>
    <row r="14" spans="1:8" ht="17" thickBot="1" x14ac:dyDescent="0.25">
      <c r="A14" s="148" t="s">
        <v>10</v>
      </c>
      <c r="B14" s="149"/>
      <c r="C14" s="149"/>
      <c r="D14" s="149"/>
      <c r="E14" s="149"/>
      <c r="F14" s="149"/>
      <c r="G14" s="149"/>
      <c r="H14" s="185"/>
    </row>
    <row r="15" spans="1:8" ht="17" thickBot="1" x14ac:dyDescent="0.25"/>
    <row r="16" spans="1:8" ht="17" thickBot="1" x14ac:dyDescent="0.25">
      <c r="A16" s="148" t="s">
        <v>11</v>
      </c>
      <c r="B16" s="149" t="s">
        <v>12</v>
      </c>
      <c r="C16" s="149" t="s">
        <v>13</v>
      </c>
      <c r="D16" s="149"/>
      <c r="E16" s="149"/>
      <c r="F16" s="149" t="s">
        <v>14</v>
      </c>
      <c r="G16" s="185"/>
    </row>
    <row r="17" spans="1:7" x14ac:dyDescent="0.2">
      <c r="A17" s="186">
        <v>1</v>
      </c>
      <c r="B17" s="187">
        <v>45600</v>
      </c>
      <c r="C17" s="188" t="s">
        <v>3280</v>
      </c>
      <c r="D17" s="188"/>
      <c r="E17" s="188"/>
      <c r="F17" s="188" t="s">
        <v>3283</v>
      </c>
      <c r="G17" s="311"/>
    </row>
    <row r="18" spans="1:7" x14ac:dyDescent="0.2">
      <c r="A18" s="189"/>
      <c r="B18" s="3"/>
      <c r="C18" s="2" t="s">
        <v>3281</v>
      </c>
      <c r="D18" s="2"/>
      <c r="E18" s="2"/>
      <c r="F18" s="2" t="s">
        <v>3284</v>
      </c>
      <c r="G18" s="190"/>
    </row>
    <row r="19" spans="1:7" x14ac:dyDescent="0.2">
      <c r="A19" s="189"/>
      <c r="B19" s="2"/>
      <c r="C19" s="2" t="s">
        <v>3282</v>
      </c>
      <c r="D19" s="2"/>
      <c r="E19" s="2"/>
      <c r="F19" s="2" t="s">
        <v>3285</v>
      </c>
      <c r="G19" s="190"/>
    </row>
    <row r="20" spans="1:7" x14ac:dyDescent="0.2">
      <c r="A20" s="189"/>
      <c r="B20" s="2"/>
      <c r="C20" s="2"/>
      <c r="D20" s="2"/>
      <c r="E20" s="2"/>
      <c r="F20" s="2" t="s">
        <v>3286</v>
      </c>
      <c r="G20" s="190"/>
    </row>
    <row r="21" spans="1:7" x14ac:dyDescent="0.2">
      <c r="A21" s="189"/>
      <c r="B21" s="2"/>
      <c r="C21" s="2"/>
      <c r="D21" s="2"/>
      <c r="E21" s="2"/>
      <c r="F21" s="2"/>
      <c r="G21" s="190"/>
    </row>
    <row r="22" spans="1:7" ht="17" thickBot="1" x14ac:dyDescent="0.25">
      <c r="A22" s="189"/>
      <c r="B22" s="2"/>
      <c r="C22" s="2"/>
      <c r="D22" s="2"/>
      <c r="E22" s="2"/>
      <c r="F22" s="2"/>
      <c r="G22" s="190"/>
    </row>
    <row r="23" spans="1:7" x14ac:dyDescent="0.2">
      <c r="A23" s="191">
        <v>2</v>
      </c>
      <c r="B23" s="192">
        <v>45607</v>
      </c>
      <c r="C23" s="193" t="s">
        <v>3287</v>
      </c>
      <c r="D23" s="193"/>
      <c r="E23" s="193"/>
      <c r="F23" s="193" t="s">
        <v>3290</v>
      </c>
      <c r="G23" s="312"/>
    </row>
    <row r="24" spans="1:7" x14ac:dyDescent="0.2">
      <c r="A24" s="194"/>
      <c r="B24" s="47"/>
      <c r="C24" s="48" t="s">
        <v>3281</v>
      </c>
      <c r="D24" s="48"/>
      <c r="E24" s="48"/>
      <c r="F24" s="48" t="s">
        <v>3291</v>
      </c>
      <c r="G24" s="195"/>
    </row>
    <row r="25" spans="1:7" x14ac:dyDescent="0.2">
      <c r="A25" s="194"/>
      <c r="B25" s="48"/>
      <c r="C25" s="48" t="s">
        <v>3288</v>
      </c>
      <c r="D25" s="48"/>
      <c r="E25" s="48"/>
      <c r="F25" s="48" t="s">
        <v>3286</v>
      </c>
      <c r="G25" s="195"/>
    </row>
    <row r="26" spans="1:7" x14ac:dyDescent="0.2">
      <c r="A26" s="194"/>
      <c r="B26" s="48"/>
      <c r="C26" s="48" t="s">
        <v>3289</v>
      </c>
      <c r="D26" s="48"/>
      <c r="E26" s="48"/>
      <c r="F26" s="48"/>
      <c r="G26" s="195"/>
    </row>
    <row r="27" spans="1:7" x14ac:dyDescent="0.2">
      <c r="A27" s="194"/>
      <c r="B27" s="48"/>
      <c r="C27" s="48"/>
      <c r="D27" s="48"/>
      <c r="E27" s="48"/>
      <c r="F27" s="48"/>
      <c r="G27" s="195"/>
    </row>
    <row r="28" spans="1:7" x14ac:dyDescent="0.2">
      <c r="A28" s="194"/>
      <c r="B28" s="48"/>
      <c r="C28" s="48"/>
      <c r="D28" s="48"/>
      <c r="E28" s="48"/>
      <c r="F28" s="48"/>
      <c r="G28" s="195"/>
    </row>
    <row r="29" spans="1:7" x14ac:dyDescent="0.2">
      <c r="A29" s="194"/>
      <c r="B29" s="48"/>
      <c r="C29" s="48"/>
      <c r="D29" s="48"/>
      <c r="E29" s="48"/>
      <c r="F29" s="48"/>
      <c r="G29" s="195"/>
    </row>
    <row r="30" spans="1:7" ht="17" thickBot="1" x14ac:dyDescent="0.25">
      <c r="A30" s="196"/>
      <c r="B30" s="197"/>
      <c r="C30" s="197"/>
      <c r="D30" s="197"/>
      <c r="E30" s="197"/>
      <c r="F30" s="197"/>
      <c r="G30" s="198"/>
    </row>
    <row r="31" spans="1:7" x14ac:dyDescent="0.2">
      <c r="A31" s="191">
        <v>3</v>
      </c>
      <c r="B31" s="192">
        <v>45614</v>
      </c>
      <c r="C31" s="193" t="s">
        <v>3451</v>
      </c>
      <c r="D31" s="193"/>
      <c r="E31" s="193"/>
      <c r="F31" s="193" t="s">
        <v>3290</v>
      </c>
      <c r="G31" s="312"/>
    </row>
    <row r="32" spans="1:7" x14ac:dyDescent="0.2">
      <c r="A32" s="194"/>
      <c r="B32" s="47"/>
      <c r="C32" s="48" t="s">
        <v>3452</v>
      </c>
      <c r="D32" s="48"/>
      <c r="E32" s="48"/>
      <c r="F32" s="48" t="s">
        <v>3291</v>
      </c>
      <c r="G32" s="195"/>
    </row>
    <row r="33" spans="1:7" x14ac:dyDescent="0.2">
      <c r="A33" s="194"/>
      <c r="B33" s="48"/>
      <c r="C33" s="48" t="s">
        <v>3453</v>
      </c>
      <c r="D33" s="48"/>
      <c r="E33" s="48"/>
      <c r="F33" s="48" t="s">
        <v>3286</v>
      </c>
      <c r="G33" s="195"/>
    </row>
    <row r="34" spans="1:7" ht="17" thickBot="1" x14ac:dyDescent="0.25">
      <c r="A34" s="196"/>
      <c r="B34" s="197"/>
      <c r="C34" s="197" t="s">
        <v>3454</v>
      </c>
      <c r="D34" s="197"/>
      <c r="E34" s="197"/>
      <c r="F34" s="197"/>
      <c r="G34" s="198"/>
    </row>
    <row r="35" spans="1:7" x14ac:dyDescent="0.2">
      <c r="A35" s="194">
        <v>4</v>
      </c>
      <c r="B35" s="356">
        <v>45621</v>
      </c>
      <c r="C35" s="48" t="s">
        <v>3455</v>
      </c>
      <c r="D35" s="48"/>
      <c r="E35" s="48"/>
      <c r="F35" s="193" t="s">
        <v>3290</v>
      </c>
      <c r="G35" s="195"/>
    </row>
    <row r="36" spans="1:7" x14ac:dyDescent="0.2">
      <c r="A36" s="194"/>
      <c r="B36" s="48"/>
      <c r="C36" s="48"/>
      <c r="D36" s="48"/>
      <c r="E36" s="48"/>
      <c r="F36" s="48" t="s">
        <v>3291</v>
      </c>
      <c r="G36" s="195"/>
    </row>
    <row r="37" spans="1:7" x14ac:dyDescent="0.2">
      <c r="A37" s="194"/>
      <c r="B37" s="48"/>
      <c r="C37" s="48"/>
      <c r="D37" s="48"/>
      <c r="E37" s="48"/>
      <c r="F37" s="48" t="s">
        <v>3286</v>
      </c>
      <c r="G37" s="195"/>
    </row>
    <row r="38" spans="1:7" x14ac:dyDescent="0.2">
      <c r="A38" s="194"/>
      <c r="B38" s="48"/>
      <c r="C38" s="48"/>
      <c r="D38" s="48"/>
      <c r="E38" s="48"/>
      <c r="F38" s="48"/>
      <c r="G38" s="195"/>
    </row>
    <row r="39" spans="1:7" x14ac:dyDescent="0.2">
      <c r="A39" s="194"/>
      <c r="B39" s="48"/>
      <c r="C39" s="48"/>
      <c r="D39" s="48"/>
      <c r="E39" s="48"/>
      <c r="F39" s="48"/>
      <c r="G39" s="195"/>
    </row>
    <row r="40" spans="1:7" ht="17" thickBot="1" x14ac:dyDescent="0.25">
      <c r="A40" s="194"/>
      <c r="B40" s="48"/>
      <c r="C40" s="48"/>
      <c r="D40" s="48"/>
      <c r="E40" s="48"/>
      <c r="F40" s="48"/>
      <c r="G40" s="195"/>
    </row>
    <row r="41" spans="1:7" x14ac:dyDescent="0.2">
      <c r="A41" s="199">
        <v>5</v>
      </c>
      <c r="B41" s="200">
        <v>45628</v>
      </c>
      <c r="C41" s="201" t="s">
        <v>3456</v>
      </c>
      <c r="D41" s="201"/>
      <c r="E41" s="201"/>
      <c r="F41" s="201" t="s">
        <v>3608</v>
      </c>
      <c r="G41" s="313"/>
    </row>
    <row r="42" spans="1:7" x14ac:dyDescent="0.2">
      <c r="A42" s="202"/>
      <c r="B42" s="416"/>
      <c r="C42" s="314"/>
      <c r="D42" s="314"/>
      <c r="E42" s="314"/>
      <c r="F42" s="314" t="s">
        <v>3609</v>
      </c>
      <c r="G42" s="203"/>
    </row>
    <row r="43" spans="1:7" x14ac:dyDescent="0.2">
      <c r="A43" s="202"/>
      <c r="B43" s="314"/>
      <c r="C43" s="314"/>
      <c r="D43" s="314"/>
      <c r="E43" s="314"/>
      <c r="F43" s="314" t="s">
        <v>3610</v>
      </c>
      <c r="G43" s="203"/>
    </row>
    <row r="44" spans="1:7" ht="17" thickBot="1" x14ac:dyDescent="0.25">
      <c r="A44" s="204"/>
      <c r="B44" s="205"/>
      <c r="C44" s="205"/>
      <c r="D44" s="205"/>
      <c r="E44" s="205"/>
      <c r="F44" s="422"/>
      <c r="G44" s="206"/>
    </row>
    <row r="45" spans="1:7" x14ac:dyDescent="0.2">
      <c r="A45" s="207">
        <v>6</v>
      </c>
      <c r="B45" s="208">
        <v>45635</v>
      </c>
      <c r="C45" s="209" t="s">
        <v>3611</v>
      </c>
      <c r="D45" s="209"/>
      <c r="E45" s="209"/>
      <c r="F45" s="209" t="s">
        <v>3615</v>
      </c>
      <c r="G45" s="315"/>
    </row>
    <row r="46" spans="1:7" x14ac:dyDescent="0.2">
      <c r="A46" s="210"/>
      <c r="B46" s="434"/>
      <c r="C46" s="316" t="s">
        <v>1273</v>
      </c>
      <c r="D46" s="316"/>
      <c r="E46" s="316"/>
      <c r="F46" s="316" t="s">
        <v>3616</v>
      </c>
      <c r="G46" s="211"/>
    </row>
    <row r="47" spans="1:7" x14ac:dyDescent="0.2">
      <c r="A47" s="210"/>
      <c r="B47" s="316"/>
      <c r="C47" s="316" t="s">
        <v>3612</v>
      </c>
      <c r="D47" s="316"/>
      <c r="E47" s="316"/>
      <c r="F47" s="316" t="s">
        <v>3617</v>
      </c>
      <c r="G47" s="211"/>
    </row>
    <row r="48" spans="1:7" x14ac:dyDescent="0.2">
      <c r="A48" s="210"/>
      <c r="B48" s="316"/>
      <c r="C48" s="316" t="s">
        <v>3613</v>
      </c>
      <c r="D48" s="316"/>
      <c r="E48" s="316"/>
      <c r="F48" s="316" t="s">
        <v>3618</v>
      </c>
      <c r="G48" s="211"/>
    </row>
    <row r="49" spans="1:7" ht="17" thickBot="1" x14ac:dyDescent="0.25">
      <c r="A49" s="212"/>
      <c r="B49" s="213"/>
      <c r="C49" s="213" t="s">
        <v>3614</v>
      </c>
      <c r="D49" s="213"/>
      <c r="E49" s="213"/>
      <c r="F49" s="213" t="s">
        <v>3619</v>
      </c>
      <c r="G49" s="214"/>
    </row>
    <row r="50" spans="1:7" x14ac:dyDescent="0.2">
      <c r="A50" s="215">
        <v>7</v>
      </c>
      <c r="B50" s="216"/>
      <c r="C50" s="217"/>
      <c r="D50" s="217"/>
      <c r="E50" s="217"/>
      <c r="F50" s="217"/>
      <c r="G50" s="317"/>
    </row>
    <row r="51" spans="1:7" x14ac:dyDescent="0.2">
      <c r="A51" s="218"/>
      <c r="B51" s="318"/>
      <c r="C51" s="319"/>
      <c r="D51" s="319"/>
      <c r="E51" s="319"/>
      <c r="F51" s="319"/>
      <c r="G51" s="219"/>
    </row>
    <row r="52" spans="1:7" x14ac:dyDescent="0.2">
      <c r="A52" s="218"/>
      <c r="B52" s="318"/>
      <c r="C52" s="319"/>
      <c r="D52" s="319"/>
      <c r="E52" s="319"/>
      <c r="F52" s="319"/>
      <c r="G52" s="219"/>
    </row>
    <row r="53" spans="1:7" x14ac:dyDescent="0.2">
      <c r="A53" s="218"/>
      <c r="B53" s="318"/>
      <c r="C53" s="319"/>
      <c r="D53" s="319"/>
      <c r="E53" s="319"/>
      <c r="F53" s="319"/>
      <c r="G53" s="219"/>
    </row>
    <row r="54" spans="1:7" x14ac:dyDescent="0.2">
      <c r="A54" s="218"/>
      <c r="B54" s="318"/>
      <c r="C54" s="319"/>
      <c r="D54" s="319"/>
      <c r="E54" s="319"/>
      <c r="F54" s="319"/>
      <c r="G54" s="219"/>
    </row>
    <row r="55" spans="1:7" ht="17" thickBot="1" x14ac:dyDescent="0.25">
      <c r="A55" s="220"/>
      <c r="B55" s="221"/>
      <c r="C55" s="222"/>
      <c r="D55" s="222"/>
      <c r="E55" s="222"/>
      <c r="F55" s="222"/>
      <c r="G55" s="223"/>
    </row>
    <row r="56" spans="1:7" x14ac:dyDescent="0.2">
      <c r="A56" s="186">
        <v>8</v>
      </c>
      <c r="B56" s="279"/>
      <c r="C56" s="188"/>
      <c r="D56" s="188"/>
      <c r="E56" s="188"/>
      <c r="F56" s="188"/>
      <c r="G56" s="311"/>
    </row>
    <row r="57" spans="1:7" x14ac:dyDescent="0.2">
      <c r="A57" s="189"/>
      <c r="B57" s="320"/>
      <c r="C57" s="2"/>
      <c r="D57" s="2"/>
      <c r="E57" s="2"/>
      <c r="F57" s="2"/>
      <c r="G57" s="190"/>
    </row>
    <row r="58" spans="1:7" x14ac:dyDescent="0.2">
      <c r="A58" s="189"/>
      <c r="B58" s="320"/>
      <c r="C58" s="2"/>
      <c r="D58" s="2"/>
      <c r="E58" s="2"/>
      <c r="F58" s="2"/>
      <c r="G58" s="190"/>
    </row>
    <row r="59" spans="1:7" x14ac:dyDescent="0.2">
      <c r="A59" s="189"/>
      <c r="B59" s="320"/>
      <c r="C59" s="2"/>
      <c r="D59" s="2"/>
      <c r="E59" s="2"/>
      <c r="F59" s="2"/>
      <c r="G59" s="190"/>
    </row>
    <row r="60" spans="1:7" ht="17" thickBot="1" x14ac:dyDescent="0.25">
      <c r="A60" s="189"/>
      <c r="B60" s="320"/>
      <c r="C60" s="2"/>
      <c r="D60" s="2"/>
      <c r="E60" s="2"/>
      <c r="F60" s="2"/>
      <c r="G60" s="190"/>
    </row>
    <row r="61" spans="1:7" x14ac:dyDescent="0.2">
      <c r="A61" s="454">
        <v>9</v>
      </c>
      <c r="B61" s="455"/>
      <c r="C61" s="456"/>
      <c r="D61" s="456"/>
      <c r="E61" s="456"/>
      <c r="F61" s="456"/>
      <c r="G61" s="457"/>
    </row>
    <row r="62" spans="1:7" x14ac:dyDescent="0.2">
      <c r="A62" s="458"/>
      <c r="B62" s="453"/>
      <c r="C62" s="153"/>
      <c r="D62" s="152"/>
      <c r="E62" s="152"/>
      <c r="F62" s="152"/>
      <c r="G62" s="459"/>
    </row>
    <row r="63" spans="1:7" x14ac:dyDescent="0.2">
      <c r="A63" s="458"/>
      <c r="B63" s="453"/>
      <c r="C63" s="153"/>
      <c r="D63" s="152"/>
      <c r="E63" s="152"/>
      <c r="F63" s="152"/>
      <c r="G63" s="459"/>
    </row>
    <row r="64" spans="1:7" ht="17" thickBot="1" x14ac:dyDescent="0.25">
      <c r="A64" s="449"/>
      <c r="B64" s="450"/>
      <c r="C64" s="464"/>
      <c r="D64" s="451"/>
      <c r="E64" s="451"/>
      <c r="F64" s="451"/>
      <c r="G64" s="452"/>
    </row>
    <row r="65" spans="1:7" ht="17" thickBot="1" x14ac:dyDescent="0.25">
      <c r="A65" s="449">
        <v>10</v>
      </c>
      <c r="B65" s="450"/>
      <c r="C65" s="451"/>
      <c r="D65" s="451"/>
      <c r="E65" s="451"/>
      <c r="F65" s="451"/>
      <c r="G65" s="452"/>
    </row>
    <row r="66" spans="1:7" ht="17" thickBot="1" x14ac:dyDescent="0.25">
      <c r="A66" s="357"/>
      <c r="B66" s="307"/>
      <c r="C66" s="309"/>
      <c r="D66" s="309"/>
      <c r="E66" s="309"/>
      <c r="F66" s="309"/>
      <c r="G66" s="310"/>
    </row>
  </sheetData>
  <mergeCells count="2">
    <mergeCell ref="A1:H1"/>
    <mergeCell ref="B4:C4"/>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9A1AC1-79E6-9A4C-8B63-8CCC851005E4}">
  <sheetPr>
    <pageSetUpPr fitToPage="1"/>
  </sheetPr>
  <dimension ref="A1:J403"/>
  <sheetViews>
    <sheetView showGridLines="0" rightToLeft="1" topLeftCell="A20" zoomScale="236" workbookViewId="0">
      <selection activeCell="G405" sqref="G405"/>
    </sheetView>
  </sheetViews>
  <sheetFormatPr baseColWidth="10" defaultRowHeight="16" x14ac:dyDescent="0.2"/>
  <sheetData>
    <row r="1" spans="1:9" s="1" customFormat="1" x14ac:dyDescent="0.2">
      <c r="A1" s="3" t="s">
        <v>2053</v>
      </c>
      <c r="B1" s="2"/>
      <c r="C1" s="2"/>
      <c r="D1" s="2"/>
      <c r="E1" s="2"/>
      <c r="F1" s="2"/>
      <c r="G1" s="2"/>
      <c r="H1" s="46">
        <v>45656</v>
      </c>
    </row>
    <row r="3" spans="1:9" s="1" customFormat="1" x14ac:dyDescent="0.2">
      <c r="A3" s="280" t="s">
        <v>2054</v>
      </c>
      <c r="B3" s="280"/>
      <c r="C3" s="280"/>
      <c r="D3" s="280"/>
      <c r="E3" s="280"/>
      <c r="F3" s="280"/>
      <c r="G3" s="280"/>
      <c r="H3" s="280"/>
      <c r="I3" s="13"/>
    </row>
    <row r="4" spans="1:9" s="1" customFormat="1" x14ac:dyDescent="0.2">
      <c r="A4" s="1" t="s">
        <v>2055</v>
      </c>
    </row>
    <row r="5" spans="1:9" s="1" customFormat="1" x14ac:dyDescent="0.2">
      <c r="A5" s="1" t="s">
        <v>2056</v>
      </c>
    </row>
    <row r="6" spans="1:9" s="1" customFormat="1" x14ac:dyDescent="0.2">
      <c r="A6" s="1" t="s">
        <v>2057</v>
      </c>
    </row>
    <row r="7" spans="1:9" s="1" customFormat="1" x14ac:dyDescent="0.2"/>
    <row r="8" spans="1:9" s="1" customFormat="1" ht="17" thickBot="1" x14ac:dyDescent="0.25">
      <c r="A8" s="1" t="s">
        <v>2058</v>
      </c>
    </row>
    <row r="9" spans="1:9" s="1" customFormat="1" x14ac:dyDescent="0.2">
      <c r="A9" s="16" t="s">
        <v>2059</v>
      </c>
      <c r="B9" s="17"/>
      <c r="C9" s="17"/>
      <c r="D9" s="17"/>
      <c r="E9" s="17"/>
      <c r="F9" s="17"/>
      <c r="G9" s="17"/>
      <c r="H9" s="18"/>
    </row>
    <row r="10" spans="1:9" s="1" customFormat="1" x14ac:dyDescent="0.2">
      <c r="A10" s="19" t="s">
        <v>2060</v>
      </c>
      <c r="H10" s="20"/>
    </row>
    <row r="11" spans="1:9" s="1" customFormat="1" ht="17" thickBot="1" x14ac:dyDescent="0.25">
      <c r="A11" s="21" t="s">
        <v>2061</v>
      </c>
      <c r="B11" s="22"/>
      <c r="C11" s="22"/>
      <c r="D11" s="22"/>
      <c r="E11" s="22"/>
      <c r="F11" s="22"/>
      <c r="G11" s="22"/>
      <c r="H11" s="23"/>
    </row>
    <row r="12" spans="1:9" s="1" customFormat="1" x14ac:dyDescent="0.2">
      <c r="A12" s="13" t="s">
        <v>3060</v>
      </c>
    </row>
    <row r="13" spans="1:9" s="1" customFormat="1" ht="17" thickBot="1" x14ac:dyDescent="0.25"/>
    <row r="14" spans="1:9" s="1" customFormat="1" x14ac:dyDescent="0.2">
      <c r="A14" s="358" t="s">
        <v>2062</v>
      </c>
      <c r="B14" s="29"/>
      <c r="C14" s="29"/>
      <c r="D14" s="29"/>
      <c r="E14" s="29"/>
      <c r="F14" s="29"/>
      <c r="G14" s="29"/>
      <c r="H14" s="30"/>
    </row>
    <row r="15" spans="1:9" s="1" customFormat="1" x14ac:dyDescent="0.2">
      <c r="A15" s="31" t="s">
        <v>2063</v>
      </c>
      <c r="B15" s="8"/>
      <c r="C15" s="8"/>
      <c r="D15" s="8"/>
      <c r="E15" s="8"/>
      <c r="F15" s="8"/>
      <c r="G15" s="8"/>
      <c r="H15" s="32"/>
    </row>
    <row r="16" spans="1:9" s="1" customFormat="1" ht="17" thickBot="1" x14ac:dyDescent="0.25">
      <c r="A16" s="33" t="s">
        <v>2064</v>
      </c>
      <c r="B16" s="34"/>
      <c r="C16" s="34"/>
      <c r="D16" s="34"/>
      <c r="E16" s="34"/>
      <c r="F16" s="34"/>
      <c r="G16" s="34"/>
      <c r="H16" s="35"/>
    </row>
    <row r="17" spans="1:8" s="1" customFormat="1" x14ac:dyDescent="0.2"/>
    <row r="18" spans="1:8" s="1" customFormat="1" x14ac:dyDescent="0.2"/>
    <row r="19" spans="1:8" s="1" customFormat="1" x14ac:dyDescent="0.2">
      <c r="A19" s="280" t="s">
        <v>2065</v>
      </c>
      <c r="B19" s="280"/>
      <c r="C19" s="280"/>
      <c r="D19" s="280"/>
      <c r="E19" s="280"/>
      <c r="F19" s="280"/>
      <c r="G19" s="280"/>
      <c r="H19" s="280"/>
    </row>
    <row r="20" spans="1:8" s="1" customFormat="1" x14ac:dyDescent="0.2"/>
    <row r="21" spans="1:8" s="1" customFormat="1" x14ac:dyDescent="0.2">
      <c r="A21" s="1" t="s">
        <v>1420</v>
      </c>
    </row>
    <row r="22" spans="1:8" s="1" customFormat="1" x14ac:dyDescent="0.2"/>
    <row r="23" spans="1:8" s="1" customFormat="1" x14ac:dyDescent="0.2"/>
    <row r="24" spans="1:8" s="1" customFormat="1" x14ac:dyDescent="0.2"/>
    <row r="25" spans="1:8" s="1" customFormat="1" x14ac:dyDescent="0.2">
      <c r="A25" s="1" t="s">
        <v>79</v>
      </c>
    </row>
    <row r="26" spans="1:8" s="1" customFormat="1" x14ac:dyDescent="0.2">
      <c r="B26" s="37" t="s">
        <v>1421</v>
      </c>
      <c r="C26" s="1" t="s">
        <v>1001</v>
      </c>
    </row>
    <row r="27" spans="1:8" s="1" customFormat="1" x14ac:dyDescent="0.2">
      <c r="B27" s="37" t="s">
        <v>1002</v>
      </c>
      <c r="C27" s="1" t="s">
        <v>1003</v>
      </c>
    </row>
    <row r="28" spans="1:8" s="1" customFormat="1" x14ac:dyDescent="0.2">
      <c r="B28" s="37" t="s">
        <v>1004</v>
      </c>
      <c r="C28" s="1" t="s">
        <v>1005</v>
      </c>
    </row>
    <row r="29" spans="1:8" s="1" customFormat="1" x14ac:dyDescent="0.2">
      <c r="B29" s="37" t="s">
        <v>1422</v>
      </c>
      <c r="C29" s="1" t="s">
        <v>1423</v>
      </c>
    </row>
    <row r="30" spans="1:8" s="1" customFormat="1" x14ac:dyDescent="0.2">
      <c r="B30" s="37" t="s">
        <v>1006</v>
      </c>
      <c r="C30" s="1" t="s">
        <v>1424</v>
      </c>
    </row>
    <row r="31" spans="1:8" s="1" customFormat="1" x14ac:dyDescent="0.2">
      <c r="B31" s="37"/>
    </row>
    <row r="32" spans="1:8" s="1" customFormat="1" x14ac:dyDescent="0.2">
      <c r="A32" s="1" t="s">
        <v>1425</v>
      </c>
    </row>
    <row r="33" spans="1:9" s="1" customFormat="1" x14ac:dyDescent="0.2"/>
    <row r="34" spans="1:9" s="1" customFormat="1" x14ac:dyDescent="0.2"/>
    <row r="35" spans="1:9" s="1" customFormat="1" x14ac:dyDescent="0.2"/>
    <row r="36" spans="1:9" s="1" customFormat="1" x14ac:dyDescent="0.2">
      <c r="A36" s="1" t="s">
        <v>79</v>
      </c>
    </row>
    <row r="37" spans="1:9" s="1" customFormat="1" x14ac:dyDescent="0.2">
      <c r="B37" s="37" t="s">
        <v>1426</v>
      </c>
      <c r="C37" s="1" t="s">
        <v>15</v>
      </c>
    </row>
    <row r="38" spans="1:9" s="1" customFormat="1" x14ac:dyDescent="0.2">
      <c r="B38" s="37" t="s">
        <v>1427</v>
      </c>
      <c r="C38" s="1" t="s">
        <v>1428</v>
      </c>
    </row>
    <row r="39" spans="1:9" s="1" customFormat="1" x14ac:dyDescent="0.2">
      <c r="B39" s="37" t="s">
        <v>1429</v>
      </c>
      <c r="C39" s="1" t="s">
        <v>1430</v>
      </c>
    </row>
    <row r="40" spans="1:9" s="1" customFormat="1" x14ac:dyDescent="0.2">
      <c r="B40" s="37" t="s">
        <v>1083</v>
      </c>
      <c r="C40" s="1" t="s">
        <v>1431</v>
      </c>
    </row>
    <row r="41" spans="1:9" s="1" customFormat="1" x14ac:dyDescent="0.2">
      <c r="B41" s="37" t="s">
        <v>1084</v>
      </c>
      <c r="C41" s="1" t="s">
        <v>1432</v>
      </c>
    </row>
    <row r="42" spans="1:9" s="1" customFormat="1" x14ac:dyDescent="0.2">
      <c r="B42" s="37" t="s">
        <v>1433</v>
      </c>
      <c r="C42" s="1" t="s">
        <v>1434</v>
      </c>
    </row>
    <row r="43" spans="1:9" s="1" customFormat="1" x14ac:dyDescent="0.2">
      <c r="B43" s="37" t="s">
        <v>1435</v>
      </c>
      <c r="C43" s="1" t="s">
        <v>1436</v>
      </c>
    </row>
    <row r="44" spans="1:9" s="1" customFormat="1" x14ac:dyDescent="0.2">
      <c r="B44" s="37"/>
    </row>
    <row r="45" spans="1:9" s="1" customFormat="1" x14ac:dyDescent="0.2">
      <c r="A45" s="8" t="s">
        <v>2066</v>
      </c>
      <c r="B45" s="62"/>
      <c r="C45" s="8"/>
      <c r="D45" s="8"/>
      <c r="E45" s="8"/>
      <c r="F45" s="8"/>
      <c r="G45" s="8"/>
      <c r="H45" s="8"/>
      <c r="I45" s="4"/>
    </row>
    <row r="46" spans="1:9" s="1" customFormat="1" x14ac:dyDescent="0.2">
      <c r="A46" s="8"/>
      <c r="B46" s="521" t="s">
        <v>2067</v>
      </c>
      <c r="C46" s="8"/>
      <c r="D46" s="8"/>
      <c r="E46" s="8"/>
      <c r="F46" s="8"/>
      <c r="G46" s="8"/>
      <c r="H46" s="8"/>
      <c r="I46" s="4"/>
    </row>
    <row r="47" spans="1:9" s="1" customFormat="1" x14ac:dyDescent="0.2">
      <c r="A47" s="8"/>
      <c r="B47" s="521" t="s">
        <v>2068</v>
      </c>
      <c r="C47" s="8"/>
      <c r="D47" s="8"/>
      <c r="E47" s="8"/>
      <c r="F47" s="8"/>
      <c r="G47" s="8"/>
      <c r="H47" s="8"/>
      <c r="I47" s="4"/>
    </row>
    <row r="48" spans="1:9" s="1" customFormat="1" x14ac:dyDescent="0.2">
      <c r="A48" s="8"/>
      <c r="B48" s="62"/>
      <c r="C48" s="8"/>
      <c r="D48" s="8"/>
      <c r="E48" s="8"/>
      <c r="F48" s="8"/>
      <c r="G48" s="8"/>
      <c r="H48" s="8"/>
      <c r="I48" s="4"/>
    </row>
    <row r="49" spans="1:10" s="1" customFormat="1" x14ac:dyDescent="0.2">
      <c r="A49" s="8" t="s">
        <v>2069</v>
      </c>
      <c r="B49" s="62"/>
      <c r="C49" s="8"/>
      <c r="D49" s="8"/>
      <c r="E49" s="8"/>
      <c r="F49" s="8"/>
      <c r="G49" s="8"/>
      <c r="H49" s="8"/>
      <c r="I49" s="4"/>
    </row>
    <row r="50" spans="1:10" s="1" customFormat="1" x14ac:dyDescent="0.2">
      <c r="A50" s="8"/>
      <c r="B50" s="521" t="s">
        <v>2070</v>
      </c>
      <c r="C50" s="8"/>
      <c r="D50" s="8"/>
      <c r="E50" s="8"/>
      <c r="F50" s="8"/>
      <c r="G50" s="8"/>
      <c r="H50" s="8"/>
      <c r="I50" s="4"/>
    </row>
    <row r="51" spans="1:10" s="1" customFormat="1" x14ac:dyDescent="0.2">
      <c r="A51" s="8"/>
      <c r="B51" s="521" t="s">
        <v>2071</v>
      </c>
      <c r="C51" s="8"/>
      <c r="D51" s="8"/>
      <c r="E51" s="8"/>
      <c r="F51" s="8"/>
      <c r="G51" s="8"/>
      <c r="H51" s="8"/>
      <c r="I51" s="4"/>
    </row>
    <row r="52" spans="1:10" s="1" customFormat="1" x14ac:dyDescent="0.2">
      <c r="B52" s="53"/>
    </row>
    <row r="53" spans="1:10" s="1" customFormat="1" x14ac:dyDescent="0.2">
      <c r="B53" s="37"/>
    </row>
    <row r="54" spans="1:10" s="1" customFormat="1" x14ac:dyDescent="0.2">
      <c r="B54" s="37"/>
    </row>
    <row r="55" spans="1:10" s="1" customFormat="1" x14ac:dyDescent="0.2">
      <c r="B55" s="37"/>
    </row>
    <row r="56" spans="1:10" s="1" customFormat="1" x14ac:dyDescent="0.2">
      <c r="B56" s="37"/>
    </row>
    <row r="57" spans="1:10" s="1" customFormat="1" x14ac:dyDescent="0.2">
      <c r="B57" s="37"/>
    </row>
    <row r="58" spans="1:10" s="1" customFormat="1" x14ac:dyDescent="0.2"/>
    <row r="59" spans="1:10" s="1" customFormat="1" x14ac:dyDescent="0.2">
      <c r="A59" s="153" t="s">
        <v>3695</v>
      </c>
      <c r="B59" s="153"/>
      <c r="C59" s="153"/>
      <c r="D59" s="153"/>
      <c r="E59" s="153"/>
      <c r="F59" s="153"/>
      <c r="G59" s="153"/>
      <c r="H59" s="153"/>
      <c r="I59" s="13"/>
    </row>
    <row r="60" spans="1:10" s="1" customFormat="1" x14ac:dyDescent="0.2">
      <c r="A60" s="1" t="s">
        <v>2072</v>
      </c>
    </row>
    <row r="61" spans="1:10" s="1" customFormat="1" x14ac:dyDescent="0.2"/>
    <row r="62" spans="1:10" s="1" customFormat="1" x14ac:dyDescent="0.2">
      <c r="A62" s="4" t="s">
        <v>198</v>
      </c>
      <c r="G62" s="545"/>
      <c r="H62" s="545"/>
      <c r="I62" s="545"/>
      <c r="J62" s="545"/>
    </row>
    <row r="63" spans="1:10" s="1" customFormat="1" x14ac:dyDescent="0.2">
      <c r="G63" s="545"/>
      <c r="H63" s="545"/>
      <c r="I63" s="545"/>
      <c r="J63" s="545"/>
    </row>
    <row r="64" spans="1:10" s="1" customFormat="1" x14ac:dyDescent="0.2">
      <c r="A64" s="1" t="s">
        <v>2073</v>
      </c>
      <c r="G64" s="545"/>
      <c r="H64" s="545"/>
      <c r="I64" s="545"/>
      <c r="J64" s="545"/>
    </row>
    <row r="65" spans="1:10" s="1" customFormat="1" x14ac:dyDescent="0.2">
      <c r="G65" s="545"/>
      <c r="H65" s="545"/>
      <c r="I65" s="545"/>
      <c r="J65" s="545"/>
    </row>
    <row r="66" spans="1:10" s="1" customFormat="1" x14ac:dyDescent="0.2">
      <c r="F66" s="1" t="s">
        <v>2074</v>
      </c>
      <c r="G66" s="545"/>
      <c r="H66" s="545"/>
      <c r="I66" s="545"/>
      <c r="J66" s="545"/>
    </row>
    <row r="67" spans="1:10" s="1" customFormat="1" x14ac:dyDescent="0.2"/>
    <row r="68" spans="1:10" s="1" customFormat="1" x14ac:dyDescent="0.2">
      <c r="A68" s="1" t="s">
        <v>2075</v>
      </c>
    </row>
    <row r="69" spans="1:10" s="1" customFormat="1" x14ac:dyDescent="0.2">
      <c r="A69" s="1" t="s">
        <v>3694</v>
      </c>
    </row>
    <row r="70" spans="1:10" s="1" customFormat="1" x14ac:dyDescent="0.2">
      <c r="H70" s="546" t="s">
        <v>3691</v>
      </c>
    </row>
    <row r="71" spans="1:10" s="1" customFormat="1" ht="26" x14ac:dyDescent="0.2">
      <c r="D71" s="563" t="s">
        <v>2076</v>
      </c>
      <c r="E71" s="563"/>
      <c r="F71" s="563"/>
      <c r="H71" s="546" t="s">
        <v>3692</v>
      </c>
    </row>
    <row r="72" spans="1:10" s="1" customFormat="1" x14ac:dyDescent="0.2">
      <c r="H72" s="546" t="s">
        <v>3693</v>
      </c>
    </row>
    <row r="73" spans="1:10" s="1" customFormat="1" x14ac:dyDescent="0.2">
      <c r="A73" s="1" t="s">
        <v>2077</v>
      </c>
    </row>
    <row r="74" spans="1:10" s="1" customFormat="1" x14ac:dyDescent="0.2">
      <c r="A74" s="1" t="s">
        <v>2078</v>
      </c>
    </row>
    <row r="75" spans="1:10" s="1" customFormat="1" x14ac:dyDescent="0.2"/>
    <row r="76" spans="1:10" s="1" customFormat="1" x14ac:dyDescent="0.2">
      <c r="A76" s="278" t="s">
        <v>3068</v>
      </c>
      <c r="B76" s="152"/>
      <c r="C76" s="152"/>
      <c r="D76" s="152"/>
      <c r="E76" s="152"/>
      <c r="F76" s="152"/>
      <c r="G76" s="152"/>
      <c r="H76" s="152"/>
      <c r="I76" s="4"/>
    </row>
    <row r="77" spans="1:10" s="1" customFormat="1" x14ac:dyDescent="0.2">
      <c r="A77" s="8"/>
      <c r="B77" s="8" t="s">
        <v>2079</v>
      </c>
      <c r="C77" s="8"/>
      <c r="D77" s="8"/>
      <c r="E77" s="8"/>
      <c r="F77" s="8"/>
      <c r="G77" s="8"/>
      <c r="H77" s="8"/>
      <c r="I77" s="8"/>
    </row>
    <row r="78" spans="1:10" s="1" customFormat="1" x14ac:dyDescent="0.2">
      <c r="A78" s="8"/>
      <c r="B78" s="8" t="s">
        <v>2080</v>
      </c>
      <c r="C78" s="8"/>
      <c r="D78" s="8"/>
      <c r="E78" s="8"/>
      <c r="F78" s="8"/>
      <c r="G78" s="8"/>
      <c r="H78" s="8"/>
      <c r="I78" s="8"/>
    </row>
    <row r="79" spans="1:10" s="1" customFormat="1" x14ac:dyDescent="0.2">
      <c r="A79" s="8"/>
      <c r="B79" s="8"/>
      <c r="C79" s="8"/>
      <c r="D79" s="8"/>
      <c r="E79" s="8"/>
      <c r="F79" s="8"/>
      <c r="G79" s="8"/>
      <c r="H79" s="8"/>
      <c r="I79" s="8"/>
    </row>
    <row r="80" spans="1:10" s="1" customFormat="1" x14ac:dyDescent="0.2">
      <c r="A80" s="8" t="s">
        <v>2081</v>
      </c>
      <c r="B80" s="8"/>
      <c r="C80" s="8"/>
      <c r="D80" s="541" t="s">
        <v>2082</v>
      </c>
      <c r="E80" s="8"/>
      <c r="F80" s="8"/>
      <c r="G80" s="8"/>
      <c r="H80" s="8"/>
      <c r="I80" s="8"/>
    </row>
    <row r="81" spans="1:9" s="1" customFormat="1" x14ac:dyDescent="0.2">
      <c r="A81" s="8"/>
      <c r="B81" s="8"/>
      <c r="C81" s="8"/>
      <c r="D81" s="8"/>
      <c r="E81" s="8"/>
      <c r="F81" s="8"/>
      <c r="G81" s="8"/>
      <c r="H81" s="8"/>
      <c r="I81" s="8"/>
    </row>
    <row r="82" spans="1:9" s="1" customFormat="1" x14ac:dyDescent="0.2">
      <c r="A82" s="8"/>
      <c r="B82" s="8"/>
      <c r="C82" s="8"/>
      <c r="D82" s="8"/>
      <c r="E82" s="8"/>
      <c r="F82" s="8"/>
      <c r="G82" s="8"/>
      <c r="H82" s="8"/>
      <c r="I82" s="8"/>
    </row>
    <row r="83" spans="1:9" s="1" customFormat="1" x14ac:dyDescent="0.2">
      <c r="A83" s="8"/>
      <c r="B83" s="8"/>
      <c r="C83" s="8" t="s">
        <v>2083</v>
      </c>
      <c r="D83" s="8"/>
      <c r="E83" s="8" t="s">
        <v>2084</v>
      </c>
      <c r="F83" s="8"/>
      <c r="G83" s="8"/>
      <c r="H83" s="8"/>
      <c r="I83" s="8"/>
    </row>
    <row r="84" spans="1:9" s="1" customFormat="1" x14ac:dyDescent="0.2">
      <c r="A84" s="8"/>
      <c r="B84" s="8"/>
      <c r="C84" s="8" t="s">
        <v>2085</v>
      </c>
      <c r="D84" s="8"/>
      <c r="E84" s="8" t="s">
        <v>2086</v>
      </c>
      <c r="F84" s="8"/>
      <c r="G84" s="8"/>
      <c r="H84" s="8"/>
      <c r="I84" s="8"/>
    </row>
    <row r="85" spans="1:9" s="1" customFormat="1" x14ac:dyDescent="0.2">
      <c r="A85" s="8"/>
      <c r="B85" s="8"/>
      <c r="C85" s="8" t="s">
        <v>2087</v>
      </c>
      <c r="D85" s="8"/>
      <c r="E85" s="8"/>
      <c r="F85" s="8"/>
      <c r="G85" s="8"/>
      <c r="H85" s="8"/>
      <c r="I85" s="8"/>
    </row>
    <row r="86" spans="1:9" s="1" customFormat="1" x14ac:dyDescent="0.2">
      <c r="A86" s="8"/>
      <c r="B86" s="8"/>
      <c r="C86" s="8"/>
      <c r="D86" s="8"/>
      <c r="E86" s="8"/>
      <c r="F86" s="8"/>
      <c r="G86" s="8"/>
      <c r="H86" s="8"/>
      <c r="I86" s="8"/>
    </row>
    <row r="87" spans="1:9" s="1" customFormat="1" x14ac:dyDescent="0.2">
      <c r="A87" s="8"/>
      <c r="B87" s="8"/>
      <c r="C87" s="8"/>
      <c r="D87" s="8"/>
      <c r="E87" s="8"/>
      <c r="F87" s="8"/>
      <c r="G87" s="8"/>
      <c r="H87" s="8"/>
      <c r="I87" s="8"/>
    </row>
    <row r="88" spans="1:9" s="1" customFormat="1" x14ac:dyDescent="0.2">
      <c r="A88" s="8"/>
      <c r="B88" s="8"/>
      <c r="C88" s="8" t="s">
        <v>2088</v>
      </c>
      <c r="D88" s="8"/>
      <c r="E88" s="8"/>
      <c r="F88" s="8" t="s">
        <v>2088</v>
      </c>
      <c r="G88" s="8"/>
      <c r="H88" s="8"/>
      <c r="I88" s="8"/>
    </row>
    <row r="89" spans="1:9" s="1" customFormat="1" x14ac:dyDescent="0.2">
      <c r="A89" s="8"/>
      <c r="B89" s="8"/>
      <c r="C89" s="8" t="s">
        <v>2089</v>
      </c>
      <c r="D89" s="8"/>
      <c r="E89" s="8"/>
      <c r="F89" s="8" t="s">
        <v>2090</v>
      </c>
      <c r="G89" s="8"/>
      <c r="H89" s="8"/>
      <c r="I89" s="8"/>
    </row>
    <row r="90" spans="1:9" s="1" customFormat="1" x14ac:dyDescent="0.2">
      <c r="A90" s="8"/>
      <c r="B90" s="8"/>
      <c r="C90" s="8"/>
      <c r="D90" s="8"/>
      <c r="E90" s="8"/>
      <c r="F90" s="8"/>
      <c r="G90" s="8"/>
      <c r="H90" s="8"/>
      <c r="I90" s="8"/>
    </row>
    <row r="91" spans="1:9" s="1" customFormat="1" x14ac:dyDescent="0.2">
      <c r="A91" s="153" t="s">
        <v>2091</v>
      </c>
      <c r="B91" s="153"/>
      <c r="C91" s="153"/>
      <c r="D91" s="153"/>
      <c r="E91" s="153"/>
      <c r="F91" s="153"/>
      <c r="G91" s="153"/>
      <c r="H91" s="153"/>
      <c r="I91" s="13"/>
    </row>
    <row r="92" spans="1:9" s="1" customFormat="1" x14ac:dyDescent="0.2">
      <c r="A92" s="1" t="s">
        <v>2092</v>
      </c>
    </row>
    <row r="93" spans="1:9" s="1" customFormat="1" ht="17" thickBot="1" x14ac:dyDescent="0.25"/>
    <row r="94" spans="1:9" s="1" customFormat="1" x14ac:dyDescent="0.2">
      <c r="A94" s="16" t="s">
        <v>3696</v>
      </c>
      <c r="B94" s="17"/>
      <c r="C94" s="17"/>
      <c r="D94" s="17"/>
      <c r="E94" s="17"/>
      <c r="F94" s="17"/>
      <c r="G94" s="17"/>
      <c r="H94" s="18"/>
    </row>
    <row r="95" spans="1:9" s="1" customFormat="1" x14ac:dyDescent="0.2">
      <c r="A95" s="19"/>
      <c r="H95" s="20"/>
    </row>
    <row r="96" spans="1:9" s="1" customFormat="1" x14ac:dyDescent="0.2">
      <c r="A96" s="19" t="s">
        <v>2093</v>
      </c>
      <c r="H96" s="20"/>
    </row>
    <row r="97" spans="1:8" s="1" customFormat="1" x14ac:dyDescent="0.2">
      <c r="A97" s="19"/>
      <c r="C97" s="1" t="s">
        <v>2094</v>
      </c>
      <c r="H97" s="20"/>
    </row>
    <row r="98" spans="1:8" s="1" customFormat="1" x14ac:dyDescent="0.2">
      <c r="A98" s="19"/>
      <c r="C98" s="1" t="s">
        <v>2095</v>
      </c>
      <c r="H98" s="20"/>
    </row>
    <row r="99" spans="1:8" s="1" customFormat="1" x14ac:dyDescent="0.2">
      <c r="A99" s="19"/>
      <c r="C99" s="1" t="s">
        <v>2096</v>
      </c>
      <c r="H99" s="20"/>
    </row>
    <row r="100" spans="1:8" s="1" customFormat="1" ht="17" thickBot="1" x14ac:dyDescent="0.25">
      <c r="A100" s="21"/>
      <c r="B100" s="22"/>
      <c r="C100" s="22" t="s">
        <v>2097</v>
      </c>
      <c r="D100" s="22"/>
      <c r="E100" s="22"/>
      <c r="F100" s="22"/>
      <c r="G100" s="22"/>
      <c r="H100" s="23"/>
    </row>
    <row r="101" spans="1:8" s="1" customFormat="1" x14ac:dyDescent="0.2"/>
    <row r="102" spans="1:8" s="4" customFormat="1" x14ac:dyDescent="0.2">
      <c r="A102" s="153" t="s">
        <v>2098</v>
      </c>
      <c r="B102" s="153"/>
      <c r="C102" s="153"/>
      <c r="D102" s="153"/>
      <c r="E102" s="153"/>
      <c r="F102" s="153"/>
      <c r="G102" s="153"/>
      <c r="H102" s="153"/>
    </row>
    <row r="103" spans="1:8" s="1" customFormat="1" x14ac:dyDescent="0.2">
      <c r="A103" s="8" t="s">
        <v>2099</v>
      </c>
      <c r="B103" s="8"/>
      <c r="C103" s="8"/>
      <c r="D103" s="8"/>
      <c r="E103" s="8"/>
      <c r="F103" s="8"/>
      <c r="G103" s="8"/>
      <c r="H103" s="8"/>
    </row>
    <row r="104" spans="1:8" s="1" customFormat="1" x14ac:dyDescent="0.2">
      <c r="A104" s="8"/>
      <c r="B104" s="8"/>
      <c r="C104" s="8"/>
      <c r="D104" s="8"/>
      <c r="E104" s="8"/>
      <c r="F104" s="8"/>
      <c r="G104" s="8"/>
      <c r="H104" s="8"/>
    </row>
    <row r="105" spans="1:8" s="1" customFormat="1" x14ac:dyDescent="0.2">
      <c r="A105" s="8" t="s">
        <v>2100</v>
      </c>
      <c r="B105" s="8"/>
      <c r="C105" s="8"/>
      <c r="D105" s="8"/>
      <c r="E105" s="8"/>
      <c r="F105" s="8"/>
      <c r="G105" s="8"/>
      <c r="H105" s="8"/>
    </row>
    <row r="106" spans="1:8" s="1" customFormat="1" x14ac:dyDescent="0.2">
      <c r="A106" s="8" t="s">
        <v>2101</v>
      </c>
      <c r="B106" s="8"/>
      <c r="C106" s="8"/>
      <c r="D106" s="8" t="s">
        <v>2102</v>
      </c>
      <c r="E106" s="8"/>
      <c r="F106" s="8"/>
      <c r="G106" s="8"/>
      <c r="H106" s="8"/>
    </row>
    <row r="107" spans="1:8" s="1" customFormat="1" x14ac:dyDescent="0.2">
      <c r="A107" s="8" t="s">
        <v>2103</v>
      </c>
      <c r="B107" s="8"/>
      <c r="C107" s="8"/>
      <c r="D107" s="8" t="s">
        <v>2104</v>
      </c>
      <c r="E107" s="8"/>
      <c r="F107" s="8"/>
      <c r="G107" s="8"/>
      <c r="H107" s="8"/>
    </row>
    <row r="108" spans="1:8" s="1" customFormat="1" x14ac:dyDescent="0.2">
      <c r="A108" s="8" t="s">
        <v>2105</v>
      </c>
      <c r="B108" s="8"/>
      <c r="C108" s="8"/>
      <c r="D108" s="8" t="s">
        <v>2106</v>
      </c>
      <c r="E108" s="8"/>
      <c r="F108" s="8"/>
      <c r="G108" s="8"/>
      <c r="H108" s="8"/>
    </row>
    <row r="109" spans="1:8" s="1" customFormat="1" x14ac:dyDescent="0.2">
      <c r="A109" s="8"/>
      <c r="B109" s="8"/>
      <c r="C109" s="8"/>
      <c r="D109" s="8" t="s">
        <v>2107</v>
      </c>
      <c r="E109" s="8"/>
      <c r="F109" s="8"/>
      <c r="G109" s="8"/>
      <c r="H109" s="8"/>
    </row>
    <row r="110" spans="1:8" s="1" customFormat="1" x14ac:dyDescent="0.2">
      <c r="A110" s="8"/>
      <c r="B110" s="8"/>
      <c r="C110" s="8"/>
      <c r="D110" s="8" t="s">
        <v>2108</v>
      </c>
      <c r="E110" s="8"/>
      <c r="F110" s="8"/>
      <c r="G110" s="8"/>
      <c r="H110" s="8"/>
    </row>
    <row r="111" spans="1:8" s="1" customFormat="1" x14ac:dyDescent="0.2">
      <c r="A111" s="8"/>
      <c r="B111" s="8"/>
      <c r="C111" s="8"/>
      <c r="D111" s="8"/>
      <c r="E111" s="8"/>
      <c r="F111" s="8"/>
      <c r="G111" s="8"/>
      <c r="H111" s="8"/>
    </row>
    <row r="112" spans="1:8" s="1" customFormat="1" x14ac:dyDescent="0.2">
      <c r="A112" s="8" t="s">
        <v>3669</v>
      </c>
      <c r="B112" s="8"/>
      <c r="C112" s="8"/>
      <c r="D112" s="8"/>
      <c r="E112" s="8"/>
      <c r="F112" s="8"/>
      <c r="G112" s="8"/>
      <c r="H112" s="8"/>
    </row>
    <row r="113" spans="1:9" s="1" customFormat="1" x14ac:dyDescent="0.2">
      <c r="A113" s="8" t="s">
        <v>2109</v>
      </c>
      <c r="B113" s="8"/>
      <c r="C113" s="8"/>
      <c r="D113" s="8"/>
      <c r="E113" s="8"/>
      <c r="F113" s="8"/>
      <c r="G113" s="8"/>
      <c r="H113" s="8"/>
    </row>
    <row r="114" spans="1:9" s="1" customFormat="1" x14ac:dyDescent="0.2">
      <c r="A114" s="8"/>
      <c r="B114" s="547"/>
      <c r="C114" s="547"/>
      <c r="D114" s="547"/>
      <c r="E114" s="547"/>
      <c r="F114" s="547"/>
      <c r="G114" s="547"/>
      <c r="H114" s="547"/>
    </row>
    <row r="115" spans="1:9" s="1" customFormat="1" x14ac:dyDescent="0.2">
      <c r="A115" s="8"/>
      <c r="B115" s="547"/>
      <c r="C115" s="547"/>
      <c r="D115" s="547"/>
      <c r="E115" s="547"/>
      <c r="F115" s="547"/>
      <c r="G115" s="547"/>
      <c r="H115" s="547"/>
    </row>
    <row r="116" spans="1:9" s="1" customFormat="1" x14ac:dyDescent="0.2">
      <c r="A116" s="8"/>
      <c r="B116" s="547"/>
      <c r="C116" s="547"/>
      <c r="D116" s="547"/>
      <c r="E116" s="547"/>
      <c r="F116" s="547"/>
      <c r="G116" s="547"/>
      <c r="H116" s="547"/>
    </row>
    <row r="117" spans="1:9" s="1" customFormat="1" x14ac:dyDescent="0.2">
      <c r="A117" s="8"/>
      <c r="B117" s="547"/>
      <c r="C117" s="547"/>
      <c r="D117" s="547"/>
      <c r="E117" s="547"/>
      <c r="F117" s="547"/>
      <c r="G117" s="547"/>
      <c r="H117" s="547"/>
    </row>
    <row r="118" spans="1:9" s="1" customFormat="1" x14ac:dyDescent="0.2">
      <c r="A118" s="8"/>
      <c r="B118" s="8"/>
      <c r="C118" s="8"/>
      <c r="D118" s="8"/>
      <c r="E118" s="8"/>
      <c r="F118" s="8"/>
      <c r="G118" s="8"/>
      <c r="H118" s="8"/>
    </row>
    <row r="119" spans="1:9" s="1" customFormat="1" x14ac:dyDescent="0.2">
      <c r="A119" s="153" t="s">
        <v>2110</v>
      </c>
      <c r="B119" s="153"/>
      <c r="C119" s="153"/>
      <c r="D119" s="153"/>
      <c r="E119" s="153"/>
      <c r="F119" s="153"/>
      <c r="G119" s="153"/>
      <c r="H119" s="153"/>
      <c r="I119" s="13"/>
    </row>
    <row r="120" spans="1:9" s="1" customFormat="1" x14ac:dyDescent="0.2">
      <c r="A120" s="1" t="s">
        <v>2111</v>
      </c>
    </row>
    <row r="121" spans="1:9" s="1" customFormat="1" x14ac:dyDescent="0.2">
      <c r="A121" s="1" t="s">
        <v>3061</v>
      </c>
    </row>
    <row r="122" spans="1:9" s="1" customFormat="1" x14ac:dyDescent="0.2">
      <c r="A122" s="1" t="s">
        <v>198</v>
      </c>
    </row>
    <row r="123" spans="1:9" s="1" customFormat="1" x14ac:dyDescent="0.2"/>
    <row r="124" spans="1:9" s="1" customFormat="1" x14ac:dyDescent="0.2">
      <c r="A124" s="1" t="s">
        <v>2112</v>
      </c>
    </row>
    <row r="125" spans="1:9" s="1" customFormat="1" x14ac:dyDescent="0.2">
      <c r="A125" s="1" t="s">
        <v>2113</v>
      </c>
    </row>
    <row r="126" spans="1:9" s="1" customFormat="1" x14ac:dyDescent="0.2">
      <c r="A126" s="1" t="s">
        <v>2114</v>
      </c>
    </row>
    <row r="127" spans="1:9" s="1" customFormat="1" x14ac:dyDescent="0.2">
      <c r="A127" s="1" t="s">
        <v>2115</v>
      </c>
    </row>
    <row r="128" spans="1:9" s="1" customFormat="1" x14ac:dyDescent="0.2">
      <c r="A128" s="1" t="s">
        <v>2116</v>
      </c>
    </row>
    <row r="129" spans="1:9" s="1" customFormat="1" x14ac:dyDescent="0.2">
      <c r="B129" s="1" t="s">
        <v>2117</v>
      </c>
    </row>
    <row r="130" spans="1:9" s="1" customFormat="1" x14ac:dyDescent="0.2">
      <c r="B130" s="1" t="s">
        <v>2118</v>
      </c>
    </row>
    <row r="131" spans="1:9" s="1" customFormat="1" x14ac:dyDescent="0.2">
      <c r="B131" s="1" t="s">
        <v>2119</v>
      </c>
    </row>
    <row r="132" spans="1:9" s="1" customFormat="1" x14ac:dyDescent="0.2">
      <c r="B132" s="1" t="s">
        <v>2120</v>
      </c>
    </row>
    <row r="133" spans="1:9" s="1" customFormat="1" x14ac:dyDescent="0.2"/>
    <row r="134" spans="1:9" s="1" customFormat="1" x14ac:dyDescent="0.2">
      <c r="A134" s="4" t="s">
        <v>2121</v>
      </c>
    </row>
    <row r="135" spans="1:9" s="1" customFormat="1" x14ac:dyDescent="0.2"/>
    <row r="136" spans="1:9" s="1" customFormat="1" x14ac:dyDescent="0.2">
      <c r="A136" s="1" t="s">
        <v>3697</v>
      </c>
      <c r="G136" s="1" t="s">
        <v>3698</v>
      </c>
    </row>
    <row r="137" spans="1:9" s="1" customFormat="1" x14ac:dyDescent="0.2"/>
    <row r="138" spans="1:9" s="1" customFormat="1" x14ac:dyDescent="0.2">
      <c r="A138" s="153" t="s">
        <v>2122</v>
      </c>
      <c r="B138" s="153"/>
      <c r="C138" s="153"/>
      <c r="D138" s="153"/>
      <c r="E138" s="153"/>
      <c r="F138" s="153"/>
      <c r="G138" s="153"/>
      <c r="H138" s="153"/>
      <c r="I138" s="4"/>
    </row>
    <row r="139" spans="1:9" s="1" customFormat="1" x14ac:dyDescent="0.2">
      <c r="A139" s="8" t="s">
        <v>3062</v>
      </c>
      <c r="B139" s="8"/>
      <c r="C139" s="8"/>
      <c r="D139" s="8"/>
      <c r="E139" s="8"/>
      <c r="F139" s="8"/>
      <c r="G139" s="8"/>
      <c r="H139" s="8"/>
    </row>
    <row r="140" spans="1:9" s="1" customFormat="1" x14ac:dyDescent="0.2">
      <c r="A140" s="8" t="s">
        <v>3063</v>
      </c>
      <c r="B140" s="8"/>
      <c r="C140" s="8"/>
      <c r="D140" s="8"/>
      <c r="E140" s="8"/>
      <c r="F140" s="8"/>
      <c r="G140" s="8"/>
      <c r="H140" s="8"/>
    </row>
    <row r="141" spans="1:9" s="1" customFormat="1" x14ac:dyDescent="0.2">
      <c r="A141" s="8"/>
      <c r="B141" s="8"/>
      <c r="C141" s="8"/>
      <c r="D141" s="8"/>
      <c r="E141" s="8"/>
      <c r="F141" s="8"/>
      <c r="G141" s="8"/>
      <c r="H141" s="8"/>
    </row>
    <row r="142" spans="1:9" s="1" customFormat="1" x14ac:dyDescent="0.2">
      <c r="A142" s="14" t="s">
        <v>378</v>
      </c>
      <c r="B142" s="8"/>
      <c r="C142" s="8"/>
      <c r="D142" s="8"/>
      <c r="E142" s="8"/>
      <c r="F142" s="8"/>
      <c r="G142" s="547"/>
      <c r="H142" s="547"/>
      <c r="I142" s="545"/>
    </row>
    <row r="143" spans="1:9" s="1" customFormat="1" x14ac:dyDescent="0.2">
      <c r="A143" s="8" t="s">
        <v>2123</v>
      </c>
      <c r="B143" s="8"/>
      <c r="C143" s="8"/>
      <c r="D143" s="8"/>
      <c r="E143" s="8"/>
      <c r="F143" s="8" t="s">
        <v>2074</v>
      </c>
      <c r="G143" s="547"/>
      <c r="H143" s="547"/>
      <c r="I143" s="545"/>
    </row>
    <row r="144" spans="1:9" s="1" customFormat="1" x14ac:dyDescent="0.2">
      <c r="A144" s="8"/>
      <c r="B144" s="8"/>
      <c r="C144" s="8"/>
      <c r="D144" s="8"/>
      <c r="E144" s="8"/>
      <c r="F144" s="8"/>
      <c r="G144" s="547"/>
      <c r="H144" s="547"/>
      <c r="I144" s="545"/>
    </row>
    <row r="145" spans="1:9" s="1" customFormat="1" x14ac:dyDescent="0.2">
      <c r="A145" s="8" t="s">
        <v>3064</v>
      </c>
      <c r="B145" s="8"/>
      <c r="C145" s="8"/>
      <c r="D145" s="8"/>
      <c r="E145" s="8"/>
      <c r="F145" s="8" t="s">
        <v>2124</v>
      </c>
      <c r="G145" s="547"/>
      <c r="H145" s="547"/>
      <c r="I145" s="545"/>
    </row>
    <row r="146" spans="1:9" s="1" customFormat="1" x14ac:dyDescent="0.2">
      <c r="A146" s="8"/>
      <c r="B146" s="8"/>
      <c r="C146" s="8"/>
      <c r="D146" s="8"/>
      <c r="E146" s="8"/>
      <c r="F146" s="8"/>
      <c r="G146" s="547"/>
      <c r="H146" s="547"/>
      <c r="I146" s="545"/>
    </row>
    <row r="147" spans="1:9" s="1" customFormat="1" x14ac:dyDescent="0.2">
      <c r="A147" s="8"/>
      <c r="B147" s="8"/>
      <c r="C147" s="8"/>
      <c r="D147" s="8"/>
      <c r="E147" s="8"/>
      <c r="F147" s="8"/>
      <c r="G147" s="547"/>
      <c r="H147" s="547"/>
      <c r="I147" s="545"/>
    </row>
    <row r="148" spans="1:9" s="1" customFormat="1" x14ac:dyDescent="0.2">
      <c r="A148" s="8" t="s">
        <v>2125</v>
      </c>
      <c r="B148" s="8"/>
      <c r="C148" s="8"/>
      <c r="D148" s="8"/>
      <c r="E148" s="8"/>
      <c r="F148" s="8" t="s">
        <v>2124</v>
      </c>
      <c r="G148" s="547"/>
      <c r="H148" s="547"/>
      <c r="I148" s="545"/>
    </row>
    <row r="149" spans="1:9" s="1" customFormat="1" x14ac:dyDescent="0.2">
      <c r="A149" s="8" t="s">
        <v>3065</v>
      </c>
      <c r="B149" s="8"/>
      <c r="C149" s="8"/>
      <c r="D149" s="8"/>
      <c r="E149" s="8"/>
      <c r="F149" s="8"/>
      <c r="G149" s="547"/>
      <c r="H149" s="547"/>
      <c r="I149" s="545"/>
    </row>
    <row r="150" spans="1:9" s="1" customFormat="1" x14ac:dyDescent="0.2">
      <c r="A150" s="8"/>
      <c r="B150" s="8"/>
      <c r="C150" s="8"/>
      <c r="D150" s="8"/>
      <c r="E150" s="8"/>
      <c r="F150" s="8"/>
      <c r="G150" s="547"/>
      <c r="H150" s="547"/>
      <c r="I150" s="545"/>
    </row>
    <row r="151" spans="1:9" s="1" customFormat="1" x14ac:dyDescent="0.2">
      <c r="A151" s="8" t="s">
        <v>2126</v>
      </c>
      <c r="B151" s="8"/>
      <c r="C151" s="8"/>
      <c r="D151" s="8"/>
      <c r="E151" s="8"/>
      <c r="F151" s="8" t="s">
        <v>2124</v>
      </c>
      <c r="G151" s="8"/>
      <c r="H151" s="8"/>
    </row>
    <row r="152" spans="1:9" s="1" customFormat="1" x14ac:dyDescent="0.2">
      <c r="A152" s="8" t="s">
        <v>2127</v>
      </c>
      <c r="B152" s="8"/>
      <c r="C152" s="8"/>
      <c r="D152" s="8"/>
      <c r="E152" s="8"/>
      <c r="F152" s="8"/>
      <c r="G152" s="8"/>
      <c r="H152" s="8"/>
    </row>
    <row r="153" spans="1:9" s="1" customFormat="1" x14ac:dyDescent="0.2">
      <c r="A153" s="8"/>
      <c r="B153" s="8"/>
      <c r="C153" s="8"/>
      <c r="D153" s="8"/>
      <c r="E153" s="8"/>
      <c r="F153" s="8"/>
      <c r="G153" s="8"/>
      <c r="H153" s="8"/>
    </row>
    <row r="154" spans="1:9" s="1" customFormat="1" x14ac:dyDescent="0.2">
      <c r="A154" s="8" t="s">
        <v>3066</v>
      </c>
      <c r="B154" s="8"/>
      <c r="C154" s="8"/>
      <c r="D154" s="8"/>
      <c r="E154" s="8"/>
      <c r="F154" s="8"/>
      <c r="G154" s="8"/>
      <c r="H154" s="8"/>
    </row>
    <row r="155" spans="1:9" s="1" customFormat="1" x14ac:dyDescent="0.2">
      <c r="A155" s="8"/>
      <c r="B155" s="8"/>
      <c r="C155" s="8"/>
      <c r="D155" s="8"/>
      <c r="E155" s="8"/>
      <c r="F155" s="8" t="s">
        <v>2124</v>
      </c>
      <c r="G155" s="8"/>
      <c r="H155" s="8"/>
    </row>
    <row r="156" spans="1:9" s="1" customFormat="1" x14ac:dyDescent="0.2">
      <c r="A156" s="8"/>
      <c r="B156" s="8"/>
      <c r="C156" s="8"/>
      <c r="D156" s="8"/>
      <c r="E156" s="8"/>
      <c r="F156" s="8"/>
      <c r="G156" s="8"/>
      <c r="H156" s="8"/>
    </row>
    <row r="157" spans="1:9" s="1" customFormat="1" x14ac:dyDescent="0.2">
      <c r="A157" s="8"/>
      <c r="B157" s="8"/>
      <c r="C157" s="8"/>
      <c r="D157" s="8"/>
      <c r="E157" s="8"/>
      <c r="F157" s="8"/>
      <c r="G157" s="8"/>
      <c r="H157" s="8"/>
    </row>
    <row r="158" spans="1:9" s="1" customFormat="1" x14ac:dyDescent="0.2">
      <c r="A158" s="8" t="s">
        <v>2128</v>
      </c>
      <c r="B158" s="8"/>
      <c r="C158" s="8"/>
      <c r="D158" s="8"/>
      <c r="E158" s="8"/>
      <c r="F158" s="8"/>
      <c r="G158" s="8"/>
      <c r="H158" s="8"/>
    </row>
    <row r="159" spans="1:9" s="1" customFormat="1" x14ac:dyDescent="0.2">
      <c r="A159" s="8" t="s">
        <v>2129</v>
      </c>
      <c r="B159" s="8"/>
      <c r="C159" s="8"/>
      <c r="D159" s="8"/>
      <c r="E159" s="8"/>
      <c r="F159" s="8"/>
      <c r="G159" s="8"/>
      <c r="H159" s="8"/>
    </row>
    <row r="160" spans="1:9" s="1" customFormat="1" x14ac:dyDescent="0.2">
      <c r="A160" s="8"/>
      <c r="B160" s="8"/>
      <c r="C160" s="8"/>
      <c r="D160" s="8"/>
      <c r="E160" s="8"/>
      <c r="F160" s="8"/>
      <c r="G160" s="8"/>
      <c r="H160" s="8"/>
    </row>
    <row r="161" spans="1:9" s="1" customFormat="1" x14ac:dyDescent="0.2">
      <c r="A161" s="8"/>
      <c r="B161" s="8"/>
      <c r="C161" s="8"/>
      <c r="D161" s="8"/>
      <c r="E161" s="8"/>
      <c r="F161" s="8"/>
      <c r="G161" s="8"/>
      <c r="H161" s="8"/>
    </row>
    <row r="162" spans="1:9" s="1" customFormat="1" x14ac:dyDescent="0.2">
      <c r="A162" s="8"/>
      <c r="B162" s="8"/>
      <c r="C162" s="8"/>
      <c r="D162" s="8"/>
      <c r="E162" s="8"/>
      <c r="F162" s="8" t="s">
        <v>2124</v>
      </c>
      <c r="G162" s="8"/>
      <c r="H162" s="8"/>
    </row>
    <row r="163" spans="1:9" s="1" customFormat="1" ht="17" thickBot="1" x14ac:dyDescent="0.25">
      <c r="A163" s="463"/>
      <c r="B163" s="463"/>
      <c r="C163" s="463"/>
      <c r="D163" s="463"/>
      <c r="E163" s="463"/>
      <c r="F163" s="463"/>
      <c r="G163" s="463"/>
      <c r="H163" s="463"/>
    </row>
    <row r="164" spans="1:9" s="1" customFormat="1" x14ac:dyDescent="0.2">
      <c r="A164" s="102" t="s">
        <v>2130</v>
      </c>
      <c r="B164" s="29"/>
      <c r="C164" s="29"/>
      <c r="D164" s="29"/>
      <c r="E164" s="29"/>
      <c r="F164" s="29"/>
      <c r="G164" s="29"/>
      <c r="H164" s="30"/>
    </row>
    <row r="165" spans="1:9" s="1" customFormat="1" x14ac:dyDescent="0.2">
      <c r="A165" s="103" t="s">
        <v>2131</v>
      </c>
      <c r="B165" s="8"/>
      <c r="C165" s="8"/>
      <c r="D165" s="8"/>
      <c r="E165" s="8"/>
      <c r="F165" s="8"/>
      <c r="G165" s="8"/>
      <c r="H165" s="32"/>
    </row>
    <row r="166" spans="1:9" s="1" customFormat="1" x14ac:dyDescent="0.2">
      <c r="A166" s="103" t="s">
        <v>2132</v>
      </c>
      <c r="B166" s="8"/>
      <c r="C166" s="8"/>
      <c r="D166" s="8"/>
      <c r="E166" s="8"/>
      <c r="F166" s="8"/>
      <c r="G166" s="8"/>
      <c r="H166" s="32"/>
    </row>
    <row r="167" spans="1:9" s="1" customFormat="1" ht="17" thickBot="1" x14ac:dyDescent="0.25">
      <c r="A167" s="104" t="s">
        <v>3699</v>
      </c>
      <c r="B167" s="34"/>
      <c r="C167" s="34"/>
      <c r="D167" s="34"/>
      <c r="E167" s="34"/>
      <c r="F167" s="34"/>
      <c r="G167" s="34"/>
      <c r="H167" s="35"/>
    </row>
    <row r="168" spans="1:9" s="1" customFormat="1" x14ac:dyDescent="0.2"/>
    <row r="169" spans="1:9" s="1" customFormat="1" x14ac:dyDescent="0.2"/>
    <row r="170" spans="1:9" s="1" customFormat="1" x14ac:dyDescent="0.2"/>
    <row r="171" spans="1:9" s="1" customFormat="1" x14ac:dyDescent="0.2">
      <c r="A171" s="153" t="s">
        <v>2133</v>
      </c>
      <c r="B171" s="153"/>
      <c r="C171" s="153"/>
      <c r="D171" s="153"/>
      <c r="E171" s="153"/>
      <c r="F171" s="153"/>
      <c r="G171" s="153"/>
      <c r="H171" s="153"/>
      <c r="I171" s="4"/>
    </row>
    <row r="172" spans="1:9" s="1" customFormat="1" x14ac:dyDescent="0.2">
      <c r="A172" s="8" t="s">
        <v>2134</v>
      </c>
      <c r="B172" s="8"/>
      <c r="C172" s="8"/>
      <c r="D172" s="8"/>
      <c r="E172" s="8"/>
      <c r="F172" s="8"/>
      <c r="G172" s="8"/>
      <c r="H172" s="8"/>
      <c r="I172" s="8"/>
    </row>
    <row r="173" spans="1:9" s="1" customFormat="1" x14ac:dyDescent="0.2">
      <c r="A173" s="8" t="s">
        <v>2135</v>
      </c>
      <c r="B173" s="8"/>
      <c r="C173" s="8"/>
      <c r="D173" s="8"/>
      <c r="E173" s="8"/>
      <c r="F173" s="8"/>
      <c r="G173" s="8"/>
      <c r="H173" s="8"/>
      <c r="I173" s="8"/>
    </row>
    <row r="174" spans="1:9" s="1" customFormat="1" x14ac:dyDescent="0.2">
      <c r="A174" s="8" t="s">
        <v>2136</v>
      </c>
      <c r="B174" s="8"/>
      <c r="C174" s="8"/>
      <c r="D174" s="8"/>
      <c r="E174" s="8"/>
      <c r="F174" s="8"/>
      <c r="G174" s="8"/>
      <c r="H174" s="8"/>
      <c r="I174" s="8"/>
    </row>
    <row r="175" spans="1:9" s="1" customFormat="1" x14ac:dyDescent="0.2">
      <c r="A175" s="8" t="s">
        <v>2137</v>
      </c>
      <c r="B175" s="8"/>
      <c r="C175" s="8"/>
      <c r="D175" s="8"/>
      <c r="E175" s="8"/>
      <c r="F175" s="8"/>
      <c r="G175" s="8"/>
      <c r="H175" s="8"/>
      <c r="I175" s="8"/>
    </row>
    <row r="176" spans="1:9" s="1" customFormat="1" x14ac:dyDescent="0.2">
      <c r="A176" s="8" t="s">
        <v>2138</v>
      </c>
      <c r="B176" s="8"/>
      <c r="C176" s="8"/>
      <c r="D176" s="8"/>
      <c r="E176" s="8"/>
      <c r="F176" s="8"/>
      <c r="G176" s="8"/>
      <c r="H176" s="8"/>
      <c r="I176" s="8"/>
    </row>
    <row r="177" spans="1:9" s="1" customFormat="1" x14ac:dyDescent="0.2">
      <c r="A177" s="8" t="s">
        <v>2139</v>
      </c>
      <c r="B177" s="8"/>
      <c r="C177" s="8"/>
      <c r="D177" s="8"/>
      <c r="E177" s="8"/>
      <c r="F177" s="8"/>
      <c r="G177" s="8"/>
      <c r="H177" s="8"/>
      <c r="I177" s="8"/>
    </row>
    <row r="178" spans="1:9" s="1" customFormat="1" x14ac:dyDescent="0.2">
      <c r="A178" s="8" t="s">
        <v>2140</v>
      </c>
      <c r="B178" s="8"/>
      <c r="C178" s="8"/>
      <c r="D178" s="8"/>
      <c r="E178" s="8"/>
      <c r="F178" s="8"/>
      <c r="G178" s="8"/>
      <c r="H178" s="8"/>
      <c r="I178" s="8"/>
    </row>
    <row r="179" spans="1:9" s="1" customFormat="1" x14ac:dyDescent="0.2">
      <c r="A179" s="8" t="s">
        <v>2141</v>
      </c>
      <c r="B179" s="8"/>
      <c r="C179" s="8"/>
      <c r="D179" s="8"/>
      <c r="E179" s="8"/>
      <c r="F179" s="8"/>
      <c r="G179" s="8"/>
      <c r="H179" s="8"/>
      <c r="I179" s="8"/>
    </row>
    <row r="180" spans="1:9" s="1" customFormat="1" x14ac:dyDescent="0.2">
      <c r="A180" s="8" t="s">
        <v>2142</v>
      </c>
      <c r="B180" s="8"/>
      <c r="C180" s="8"/>
      <c r="D180" s="8"/>
      <c r="E180" s="8"/>
      <c r="F180" s="8"/>
      <c r="G180" s="8"/>
      <c r="H180" s="8"/>
      <c r="I180" s="8"/>
    </row>
    <row r="181" spans="1:9" s="1" customFormat="1" x14ac:dyDescent="0.2">
      <c r="A181" s="8" t="s">
        <v>2143</v>
      </c>
      <c r="B181" s="8"/>
      <c r="C181" s="8"/>
      <c r="D181" s="8"/>
      <c r="E181" s="8"/>
      <c r="F181" s="8"/>
      <c r="G181" s="8"/>
      <c r="H181" s="8"/>
      <c r="I181" s="8"/>
    </row>
    <row r="182" spans="1:9" s="1" customFormat="1" x14ac:dyDescent="0.2">
      <c r="A182" s="8" t="s">
        <v>2144</v>
      </c>
      <c r="B182" s="8"/>
      <c r="C182" s="8"/>
      <c r="D182" s="8"/>
      <c r="E182" s="8"/>
      <c r="F182" s="8"/>
      <c r="G182" s="8"/>
      <c r="H182" s="8"/>
      <c r="I182" s="8"/>
    </row>
    <row r="183" spans="1:9" s="1" customFormat="1" x14ac:dyDescent="0.2">
      <c r="A183" s="8"/>
      <c r="B183" s="8"/>
      <c r="C183" s="8"/>
      <c r="D183" s="8"/>
      <c r="E183" s="8"/>
      <c r="F183" s="8"/>
      <c r="G183" s="8"/>
      <c r="H183" s="8"/>
      <c r="I183" s="8"/>
    </row>
    <row r="184" spans="1:9" s="1" customFormat="1" x14ac:dyDescent="0.2">
      <c r="A184" s="14" t="s">
        <v>2135</v>
      </c>
      <c r="B184" s="8"/>
      <c r="C184" s="8"/>
      <c r="D184" s="8"/>
      <c r="E184" s="8"/>
      <c r="F184" s="8"/>
      <c r="G184" s="8"/>
      <c r="H184" s="8"/>
      <c r="I184" s="8"/>
    </row>
    <row r="185" spans="1:9" s="1" customFormat="1" x14ac:dyDescent="0.2">
      <c r="A185" s="8" t="s">
        <v>3670</v>
      </c>
      <c r="B185" s="8"/>
      <c r="C185" s="8"/>
      <c r="D185" s="8"/>
      <c r="E185" s="8"/>
      <c r="F185" s="8"/>
      <c r="G185" s="8"/>
      <c r="H185" s="8"/>
      <c r="I185" s="8"/>
    </row>
    <row r="186" spans="1:9" s="1" customFormat="1" x14ac:dyDescent="0.2">
      <c r="A186" s="8"/>
      <c r="B186" s="8"/>
      <c r="C186" s="8"/>
      <c r="D186" s="8"/>
      <c r="E186" s="8"/>
      <c r="F186" s="8"/>
      <c r="G186" s="8"/>
      <c r="H186" s="8"/>
      <c r="I186" s="8"/>
    </row>
    <row r="187" spans="1:9" s="1" customFormat="1" x14ac:dyDescent="0.2">
      <c r="A187" s="14" t="s">
        <v>2136</v>
      </c>
      <c r="B187" s="8"/>
      <c r="C187" s="8"/>
      <c r="D187" s="8"/>
      <c r="E187" s="8"/>
      <c r="F187" s="8"/>
      <c r="G187" s="8"/>
      <c r="H187" s="8"/>
      <c r="I187" s="8"/>
    </row>
    <row r="188" spans="1:9" s="1" customFormat="1" x14ac:dyDescent="0.2">
      <c r="A188" s="14" t="s">
        <v>3671</v>
      </c>
      <c r="B188" s="8"/>
      <c r="C188" s="8"/>
      <c r="D188" s="8"/>
      <c r="E188" s="8"/>
      <c r="F188" s="8"/>
      <c r="G188" s="8"/>
      <c r="H188" s="8"/>
      <c r="I188" s="8"/>
    </row>
    <row r="189" spans="1:9" s="1" customFormat="1" x14ac:dyDescent="0.2">
      <c r="A189" s="14"/>
      <c r="B189" s="8"/>
      <c r="C189" s="8"/>
      <c r="D189" s="8"/>
      <c r="E189" s="8"/>
      <c r="F189" s="8"/>
      <c r="G189" s="8"/>
      <c r="H189" s="8"/>
      <c r="I189" s="8"/>
    </row>
    <row r="190" spans="1:9" s="1" customFormat="1" x14ac:dyDescent="0.2">
      <c r="A190" s="14" t="s">
        <v>2137</v>
      </c>
      <c r="B190" s="8"/>
      <c r="C190" s="8"/>
      <c r="D190" s="8"/>
      <c r="E190" s="8"/>
      <c r="F190" s="8"/>
      <c r="G190" s="8"/>
      <c r="H190" s="8"/>
      <c r="I190" s="8"/>
    </row>
    <row r="191" spans="1:9" s="1" customFormat="1" x14ac:dyDescent="0.2">
      <c r="A191" s="14" t="s">
        <v>2138</v>
      </c>
      <c r="B191" s="8"/>
      <c r="C191" s="8"/>
      <c r="D191" s="8"/>
      <c r="E191" s="8"/>
      <c r="F191" s="8"/>
      <c r="G191" s="8"/>
      <c r="H191" s="8"/>
      <c r="I191" s="8"/>
    </row>
    <row r="192" spans="1:9" s="1" customFormat="1" x14ac:dyDescent="0.2">
      <c r="A192" s="8" t="s">
        <v>3672</v>
      </c>
      <c r="B192" s="8"/>
      <c r="C192" s="8"/>
      <c r="D192" s="8"/>
      <c r="E192" s="8"/>
      <c r="F192" s="8"/>
      <c r="G192" s="8"/>
      <c r="H192" s="8"/>
      <c r="I192" s="8"/>
    </row>
    <row r="193" spans="1:9" s="1" customFormat="1" x14ac:dyDescent="0.2">
      <c r="A193" s="8"/>
      <c r="B193" s="8"/>
      <c r="C193" s="8"/>
      <c r="D193" s="8"/>
      <c r="E193" s="8"/>
      <c r="F193" s="8"/>
      <c r="G193" s="8"/>
      <c r="H193" s="8"/>
      <c r="I193" s="8"/>
    </row>
    <row r="194" spans="1:9" s="1" customFormat="1" x14ac:dyDescent="0.2">
      <c r="A194" s="14" t="s">
        <v>2139</v>
      </c>
      <c r="B194" s="8"/>
      <c r="C194" s="8"/>
      <c r="D194" s="8"/>
      <c r="E194" s="8"/>
      <c r="F194" s="8"/>
      <c r="G194" s="8"/>
      <c r="H194" s="8"/>
      <c r="I194" s="8"/>
    </row>
    <row r="195" spans="1:9" s="1" customFormat="1" x14ac:dyDescent="0.2">
      <c r="A195" s="14" t="s">
        <v>2140</v>
      </c>
      <c r="B195" s="8"/>
      <c r="C195" s="8"/>
      <c r="D195" s="8"/>
      <c r="E195" s="8"/>
      <c r="F195" s="8"/>
      <c r="G195" s="8"/>
      <c r="H195" s="8"/>
      <c r="I195" s="8"/>
    </row>
    <row r="196" spans="1:9" s="1" customFormat="1" x14ac:dyDescent="0.2">
      <c r="A196" s="8" t="s">
        <v>3673</v>
      </c>
      <c r="B196" s="8"/>
      <c r="C196" s="8"/>
      <c r="D196" s="8"/>
      <c r="E196" s="8"/>
      <c r="F196" s="8"/>
      <c r="G196" s="8"/>
      <c r="H196" s="8"/>
      <c r="I196" s="8"/>
    </row>
    <row r="197" spans="1:9" s="1" customFormat="1" x14ac:dyDescent="0.2">
      <c r="A197" s="8"/>
      <c r="B197" s="8"/>
      <c r="C197" s="8"/>
      <c r="D197" s="8"/>
      <c r="E197" s="8"/>
      <c r="F197" s="8"/>
      <c r="G197" s="8"/>
      <c r="H197" s="8"/>
      <c r="I197" s="8"/>
    </row>
    <row r="198" spans="1:9" s="1" customFormat="1" x14ac:dyDescent="0.2">
      <c r="A198" s="14" t="s">
        <v>2141</v>
      </c>
      <c r="B198" s="8"/>
      <c r="C198" s="8"/>
      <c r="D198" s="8"/>
      <c r="E198" s="8"/>
      <c r="F198" s="8"/>
      <c r="G198" s="8"/>
      <c r="H198" s="8"/>
      <c r="I198" s="8"/>
    </row>
    <row r="199" spans="1:9" s="1" customFormat="1" x14ac:dyDescent="0.2">
      <c r="A199" s="14" t="s">
        <v>2142</v>
      </c>
      <c r="B199" s="8"/>
      <c r="C199" s="8"/>
      <c r="D199" s="8"/>
      <c r="E199" s="8"/>
      <c r="F199" s="8"/>
      <c r="G199" s="8"/>
      <c r="H199" s="8"/>
      <c r="I199" s="8"/>
    </row>
    <row r="200" spans="1:9" s="1" customFormat="1" x14ac:dyDescent="0.2">
      <c r="A200" s="8" t="s">
        <v>3674</v>
      </c>
      <c r="B200" s="8"/>
      <c r="C200" s="8"/>
      <c r="D200" s="8"/>
      <c r="E200" s="8"/>
      <c r="F200" s="8"/>
      <c r="G200" s="8"/>
      <c r="H200" s="8"/>
      <c r="I200" s="8"/>
    </row>
    <row r="201" spans="1:9" s="1" customFormat="1" x14ac:dyDescent="0.2">
      <c r="A201" s="8" t="s">
        <v>2145</v>
      </c>
      <c r="B201" s="8"/>
      <c r="C201" s="8"/>
      <c r="D201" s="8"/>
      <c r="E201" s="8"/>
      <c r="F201" s="8"/>
      <c r="G201" s="8"/>
      <c r="H201" s="8"/>
      <c r="I201" s="8"/>
    </row>
    <row r="202" spans="1:9" s="1" customFormat="1" x14ac:dyDescent="0.2">
      <c r="A202" s="8"/>
      <c r="B202" s="8"/>
      <c r="C202" s="8"/>
      <c r="D202" s="8"/>
      <c r="E202" s="8"/>
      <c r="F202" s="8"/>
      <c r="G202" s="8"/>
      <c r="H202" s="8"/>
      <c r="I202" s="8"/>
    </row>
    <row r="203" spans="1:9" s="1" customFormat="1" x14ac:dyDescent="0.2">
      <c r="A203" s="14" t="s">
        <v>2143</v>
      </c>
      <c r="B203" s="8"/>
      <c r="C203" s="8"/>
      <c r="D203" s="8"/>
      <c r="E203" s="8"/>
      <c r="F203" s="8"/>
      <c r="G203" s="8"/>
      <c r="H203" s="8"/>
      <c r="I203" s="8"/>
    </row>
    <row r="204" spans="1:9" s="1" customFormat="1" x14ac:dyDescent="0.2">
      <c r="A204" s="14" t="s">
        <v>2144</v>
      </c>
      <c r="B204" s="8"/>
      <c r="C204" s="8"/>
      <c r="D204" s="8"/>
      <c r="E204" s="8"/>
      <c r="F204" s="8"/>
      <c r="G204" s="8"/>
      <c r="H204" s="8"/>
      <c r="I204" s="8"/>
    </row>
    <row r="205" spans="1:9" s="1" customFormat="1" x14ac:dyDescent="0.2">
      <c r="A205" s="8" t="s">
        <v>3675</v>
      </c>
      <c r="B205" s="8"/>
      <c r="C205" s="8"/>
      <c r="D205" s="8"/>
      <c r="E205" s="8"/>
      <c r="F205" s="8"/>
      <c r="G205" s="8"/>
      <c r="H205" s="8"/>
      <c r="I205" s="8"/>
    </row>
    <row r="206" spans="1:9" s="1" customFormat="1" x14ac:dyDescent="0.2">
      <c r="A206" s="8" t="s">
        <v>2145</v>
      </c>
      <c r="B206" s="8"/>
      <c r="C206" s="8"/>
      <c r="D206" s="8"/>
      <c r="E206" s="8"/>
      <c r="F206" s="8"/>
      <c r="G206" s="8"/>
      <c r="H206" s="8"/>
      <c r="I206" s="8"/>
    </row>
    <row r="207" spans="1:9" s="1" customFormat="1" x14ac:dyDescent="0.2">
      <c r="A207" s="8"/>
      <c r="B207" s="8"/>
      <c r="C207" s="8"/>
      <c r="D207" s="8"/>
      <c r="E207" s="8"/>
      <c r="F207" s="8"/>
      <c r="G207" s="8"/>
      <c r="H207" s="8"/>
      <c r="I207" s="8"/>
    </row>
    <row r="208" spans="1:9" s="1" customFormat="1" x14ac:dyDescent="0.2">
      <c r="A208" s="8"/>
      <c r="B208" s="8"/>
      <c r="C208" s="8"/>
      <c r="D208" s="8"/>
      <c r="E208" s="8"/>
      <c r="F208" s="8"/>
      <c r="G208" s="8"/>
      <c r="H208" s="8"/>
      <c r="I208" s="8"/>
    </row>
    <row r="209" spans="1:9" s="1" customFormat="1" x14ac:dyDescent="0.2">
      <c r="A209" s="8"/>
      <c r="B209" s="8"/>
      <c r="C209" s="8"/>
      <c r="D209" s="8"/>
      <c r="E209" s="8"/>
      <c r="F209" s="8"/>
      <c r="G209" s="8"/>
      <c r="H209" s="8"/>
      <c r="I209" s="8"/>
    </row>
    <row r="210" spans="1:9" s="1" customFormat="1" x14ac:dyDescent="0.2">
      <c r="A210" s="8"/>
      <c r="B210" s="8"/>
      <c r="C210" s="8"/>
      <c r="D210" s="8"/>
      <c r="E210" s="8"/>
      <c r="F210" s="8"/>
      <c r="G210" s="8"/>
      <c r="H210" s="8"/>
      <c r="I210" s="8"/>
    </row>
    <row r="211" spans="1:9" s="1" customFormat="1" x14ac:dyDescent="0.2">
      <c r="A211" s="8"/>
      <c r="B211" s="8"/>
      <c r="C211" s="8"/>
      <c r="D211" s="8"/>
      <c r="E211" s="8"/>
      <c r="F211" s="8"/>
      <c r="G211" s="8"/>
      <c r="H211" s="8"/>
      <c r="I211" s="8"/>
    </row>
    <row r="212" spans="1:9" s="1" customFormat="1" x14ac:dyDescent="0.2">
      <c r="A212" s="8"/>
      <c r="B212" s="8"/>
      <c r="C212" s="8"/>
      <c r="D212" s="8"/>
      <c r="E212" s="8"/>
      <c r="F212" s="8"/>
      <c r="G212" s="8"/>
      <c r="H212" s="8"/>
      <c r="I212" s="8"/>
    </row>
    <row r="213" spans="1:9" s="1" customFormat="1" x14ac:dyDescent="0.2">
      <c r="A213" s="8"/>
      <c r="B213" s="8"/>
      <c r="C213" s="8"/>
      <c r="D213" s="8"/>
      <c r="E213" s="8"/>
      <c r="F213" s="8"/>
      <c r="G213" s="8"/>
      <c r="H213" s="8"/>
      <c r="I213" s="8"/>
    </row>
    <row r="214" spans="1:9" s="1" customFormat="1" x14ac:dyDescent="0.2">
      <c r="A214" s="8"/>
      <c r="B214" s="8"/>
      <c r="C214" s="8"/>
      <c r="D214" s="8"/>
      <c r="E214" s="8"/>
      <c r="F214" s="8"/>
      <c r="G214" s="8"/>
      <c r="H214" s="8"/>
      <c r="I214" s="8"/>
    </row>
    <row r="215" spans="1:9" s="1" customFormat="1" x14ac:dyDescent="0.2">
      <c r="A215" s="8"/>
      <c r="B215" s="8"/>
      <c r="C215" s="8"/>
      <c r="D215" s="8"/>
      <c r="E215" s="8"/>
      <c r="F215" s="8"/>
      <c r="G215" s="8"/>
      <c r="H215" s="8"/>
      <c r="I215" s="8"/>
    </row>
    <row r="216" spans="1:9" s="1" customFormat="1" x14ac:dyDescent="0.2">
      <c r="A216" s="8"/>
      <c r="B216" s="8"/>
      <c r="C216" s="8"/>
      <c r="D216" s="8"/>
      <c r="E216" s="8"/>
      <c r="F216" s="8"/>
      <c r="G216" s="8"/>
      <c r="H216" s="8"/>
      <c r="I216" s="8"/>
    </row>
    <row r="217" spans="1:9" s="1" customFormat="1" x14ac:dyDescent="0.2">
      <c r="A217" s="542" t="s">
        <v>2146</v>
      </c>
      <c r="B217" s="543"/>
      <c r="C217" s="543"/>
      <c r="D217" s="543"/>
      <c r="E217" s="543"/>
      <c r="F217" s="543"/>
      <c r="G217" s="543"/>
      <c r="H217" s="543"/>
      <c r="I217" s="14"/>
    </row>
    <row r="218" spans="1:9" s="1" customFormat="1" x14ac:dyDescent="0.2">
      <c r="A218" s="8" t="s">
        <v>2147</v>
      </c>
      <c r="B218" s="8"/>
      <c r="C218" s="8"/>
      <c r="D218" s="8"/>
      <c r="E218" s="8"/>
      <c r="F218" s="8"/>
      <c r="G218" s="8"/>
      <c r="H218" s="8"/>
      <c r="I218" s="8"/>
    </row>
    <row r="219" spans="1:9" s="1" customFormat="1" x14ac:dyDescent="0.2">
      <c r="A219" s="8" t="s">
        <v>3676</v>
      </c>
      <c r="B219" s="8"/>
      <c r="C219" s="8"/>
      <c r="D219" s="8"/>
      <c r="E219" s="8"/>
      <c r="F219" s="8"/>
      <c r="G219" s="8"/>
      <c r="H219" s="8"/>
      <c r="I219" s="8"/>
    </row>
    <row r="220" spans="1:9" s="1" customFormat="1" x14ac:dyDescent="0.2">
      <c r="A220" s="8"/>
      <c r="B220" s="8"/>
      <c r="C220" s="8"/>
      <c r="D220" s="8"/>
      <c r="E220" s="8"/>
      <c r="F220" s="8"/>
      <c r="G220" s="8"/>
      <c r="H220" s="8"/>
      <c r="I220" s="8"/>
    </row>
    <row r="221" spans="1:9" s="1" customFormat="1" x14ac:dyDescent="0.2">
      <c r="A221" s="8"/>
      <c r="B221" s="8" t="s">
        <v>3707</v>
      </c>
      <c r="C221" s="62" t="s">
        <v>3701</v>
      </c>
      <c r="D221" s="62"/>
      <c r="E221" s="62" t="s">
        <v>3700</v>
      </c>
      <c r="F221" s="62"/>
      <c r="G221" s="548" t="s">
        <v>3702</v>
      </c>
      <c r="H221" s="548" t="s">
        <v>3703</v>
      </c>
      <c r="I221" s="8"/>
    </row>
    <row r="222" spans="1:9" s="1" customFormat="1" x14ac:dyDescent="0.2">
      <c r="A222" s="8"/>
      <c r="B222" s="8" t="s">
        <v>3707</v>
      </c>
      <c r="C222" s="62" t="s">
        <v>3701</v>
      </c>
      <c r="D222" s="62"/>
      <c r="E222" s="62" t="s">
        <v>3704</v>
      </c>
      <c r="F222" s="62"/>
      <c r="G222" s="548" t="s">
        <v>3705</v>
      </c>
      <c r="H222" s="548" t="s">
        <v>3706</v>
      </c>
      <c r="I222" s="8"/>
    </row>
    <row r="223" spans="1:9" s="1" customFormat="1" x14ac:dyDescent="0.2">
      <c r="A223" s="8"/>
      <c r="B223" s="8"/>
      <c r="C223" s="8"/>
      <c r="D223" s="8"/>
      <c r="E223" s="8"/>
      <c r="F223" s="8"/>
      <c r="G223" s="8"/>
      <c r="H223" s="8"/>
      <c r="I223" s="8"/>
    </row>
    <row r="224" spans="1:9" s="1" customFormat="1" x14ac:dyDescent="0.2">
      <c r="A224" s="8" t="s">
        <v>3677</v>
      </c>
      <c r="B224" s="8"/>
      <c r="C224" s="8"/>
      <c r="D224" s="8"/>
      <c r="E224" s="8"/>
      <c r="F224" s="8"/>
      <c r="G224" s="8"/>
      <c r="H224" s="8"/>
      <c r="I224" s="8"/>
    </row>
    <row r="225" spans="1:9" s="1" customFormat="1" x14ac:dyDescent="0.2">
      <c r="A225" s="8" t="s">
        <v>2149</v>
      </c>
      <c r="B225" s="8"/>
      <c r="C225" s="8"/>
      <c r="D225" s="8"/>
      <c r="E225" s="8"/>
      <c r="F225" s="8"/>
      <c r="G225" s="8"/>
      <c r="H225" s="8"/>
      <c r="I225" s="8"/>
    </row>
    <row r="226" spans="1:9" s="1" customFormat="1" x14ac:dyDescent="0.2">
      <c r="A226" s="8" t="s">
        <v>2150</v>
      </c>
      <c r="B226" s="8"/>
      <c r="C226" s="8"/>
      <c r="D226" s="8"/>
      <c r="E226" s="8"/>
      <c r="F226" s="8"/>
      <c r="G226" s="8"/>
      <c r="H226" s="8"/>
      <c r="I226" s="8"/>
    </row>
    <row r="227" spans="1:9" s="1" customFormat="1" x14ac:dyDescent="0.2">
      <c r="A227" s="8" t="s">
        <v>2151</v>
      </c>
      <c r="B227" s="8"/>
      <c r="C227" s="8"/>
      <c r="D227" s="8"/>
      <c r="E227" s="8"/>
      <c r="F227" s="8"/>
      <c r="G227" s="8"/>
      <c r="H227" s="8"/>
      <c r="I227" s="8"/>
    </row>
    <row r="228" spans="1:9" s="1" customFormat="1" x14ac:dyDescent="0.2">
      <c r="A228" s="8" t="s">
        <v>2152</v>
      </c>
      <c r="B228" s="8"/>
      <c r="C228" s="8"/>
      <c r="D228" s="8"/>
      <c r="E228" s="8"/>
      <c r="F228" s="8"/>
      <c r="G228" s="8"/>
      <c r="H228" s="8"/>
      <c r="I228" s="8"/>
    </row>
    <row r="229" spans="1:9" s="1" customFormat="1" x14ac:dyDescent="0.2">
      <c r="A229" s="8" t="s">
        <v>2153</v>
      </c>
      <c r="B229" s="8"/>
      <c r="C229" s="8"/>
      <c r="D229" s="8"/>
      <c r="E229" s="8"/>
      <c r="F229" s="8"/>
      <c r="G229" s="8"/>
      <c r="H229" s="8"/>
      <c r="I229" s="8"/>
    </row>
    <row r="230" spans="1:9" s="1" customFormat="1" x14ac:dyDescent="0.2">
      <c r="A230" s="8" t="s">
        <v>2154</v>
      </c>
      <c r="B230" s="8"/>
      <c r="C230" s="8"/>
      <c r="D230" s="8"/>
      <c r="E230" s="8"/>
      <c r="F230" s="8"/>
      <c r="G230" s="8"/>
      <c r="H230" s="8"/>
      <c r="I230" s="8"/>
    </row>
    <row r="231" spans="1:9" s="1" customFormat="1" x14ac:dyDescent="0.2">
      <c r="A231" s="8" t="s">
        <v>2155</v>
      </c>
      <c r="B231" s="8"/>
      <c r="C231" s="8"/>
      <c r="D231" s="8"/>
      <c r="E231" s="8"/>
      <c r="F231" s="8"/>
      <c r="G231" s="8"/>
      <c r="H231" s="8"/>
      <c r="I231" s="8"/>
    </row>
    <row r="232" spans="1:9" s="1" customFormat="1" x14ac:dyDescent="0.2">
      <c r="A232" s="8" t="s">
        <v>2156</v>
      </c>
      <c r="B232" s="8"/>
      <c r="C232" s="8"/>
      <c r="D232" s="8"/>
      <c r="E232" s="8"/>
      <c r="F232" s="8"/>
      <c r="G232" s="8"/>
      <c r="H232" s="8"/>
      <c r="I232" s="8"/>
    </row>
    <row r="233" spans="1:9" s="1" customFormat="1" x14ac:dyDescent="0.2">
      <c r="A233" s="8" t="s">
        <v>2157</v>
      </c>
      <c r="B233" s="8"/>
      <c r="C233" s="8"/>
      <c r="D233" s="8"/>
      <c r="E233" s="8"/>
      <c r="F233" s="8"/>
      <c r="G233" s="8"/>
      <c r="H233" s="8"/>
      <c r="I233" s="8"/>
    </row>
    <row r="234" spans="1:9" s="1" customFormat="1" x14ac:dyDescent="0.2">
      <c r="A234" s="8"/>
      <c r="B234" s="8"/>
      <c r="C234" s="8"/>
      <c r="D234" s="8"/>
      <c r="E234" s="8"/>
      <c r="F234" s="8"/>
      <c r="G234" s="8"/>
      <c r="H234" s="8"/>
      <c r="I234" s="8"/>
    </row>
    <row r="235" spans="1:9" s="1" customFormat="1" x14ac:dyDescent="0.2">
      <c r="A235" s="14" t="s">
        <v>198</v>
      </c>
      <c r="B235" s="8"/>
      <c r="C235" s="8"/>
      <c r="D235" s="8"/>
      <c r="E235" s="8"/>
      <c r="F235" s="8"/>
      <c r="G235" s="8"/>
      <c r="H235" s="8"/>
      <c r="I235" s="8"/>
    </row>
    <row r="236" spans="1:9" s="1" customFormat="1" x14ac:dyDescent="0.2">
      <c r="A236" s="14"/>
      <c r="B236" s="8"/>
      <c r="C236" s="8"/>
      <c r="D236" s="8"/>
      <c r="E236" s="8"/>
      <c r="F236" s="8"/>
      <c r="G236" s="8"/>
      <c r="H236" s="8"/>
      <c r="I236" s="8"/>
    </row>
    <row r="237" spans="1:9" s="1" customFormat="1" x14ac:dyDescent="0.2">
      <c r="A237" s="14" t="s">
        <v>2148</v>
      </c>
      <c r="B237" s="8"/>
      <c r="C237" s="8"/>
      <c r="D237" s="8"/>
      <c r="E237" s="8"/>
      <c r="F237" s="8"/>
      <c r="G237" s="8"/>
      <c r="H237" s="8"/>
      <c r="I237" s="8"/>
    </row>
    <row r="238" spans="1:9" s="1" customFormat="1" x14ac:dyDescent="0.2">
      <c r="A238" s="14" t="s">
        <v>2158</v>
      </c>
      <c r="B238" s="8"/>
      <c r="C238" s="8"/>
      <c r="D238" s="8"/>
      <c r="E238" s="8"/>
      <c r="F238" s="8"/>
      <c r="G238" s="8"/>
      <c r="H238" s="8"/>
      <c r="I238" s="8"/>
    </row>
    <row r="239" spans="1:9" s="1" customFormat="1" x14ac:dyDescent="0.2">
      <c r="A239" s="8"/>
      <c r="B239" s="8"/>
      <c r="C239" s="8"/>
      <c r="D239" s="8"/>
      <c r="E239" s="8"/>
      <c r="F239" s="8"/>
      <c r="G239" s="8"/>
      <c r="H239" s="8"/>
      <c r="I239" s="8"/>
    </row>
    <row r="240" spans="1:9" s="1" customFormat="1" x14ac:dyDescent="0.2">
      <c r="A240" s="8"/>
      <c r="B240" s="8"/>
      <c r="C240" s="323" t="s">
        <v>2159</v>
      </c>
      <c r="D240" s="323" t="s">
        <v>2160</v>
      </c>
      <c r="E240" s="8"/>
      <c r="F240" s="8" t="s">
        <v>798</v>
      </c>
      <c r="G240" s="8"/>
      <c r="H240" s="8"/>
      <c r="I240" s="8"/>
    </row>
    <row r="241" spans="1:9" s="1" customFormat="1" x14ac:dyDescent="0.2">
      <c r="A241" s="8" t="s">
        <v>1426</v>
      </c>
      <c r="B241" s="8"/>
      <c r="C241" s="9">
        <v>0.15</v>
      </c>
      <c r="D241" s="521" t="s">
        <v>53</v>
      </c>
      <c r="E241" s="8"/>
      <c r="F241" s="8" t="s">
        <v>2161</v>
      </c>
      <c r="G241" s="8"/>
      <c r="H241" s="8"/>
      <c r="I241" s="8"/>
    </row>
    <row r="242" spans="1:9" s="1" customFormat="1" x14ac:dyDescent="0.2">
      <c r="A242" s="8" t="s">
        <v>2162</v>
      </c>
      <c r="B242" s="8"/>
      <c r="C242" s="9">
        <v>0.7</v>
      </c>
      <c r="D242" s="9">
        <v>0.95</v>
      </c>
      <c r="E242" s="8"/>
      <c r="F242" s="8" t="s">
        <v>2163</v>
      </c>
      <c r="G242" s="8"/>
      <c r="H242" s="8"/>
      <c r="I242" s="8"/>
    </row>
    <row r="243" spans="1:9" s="1" customFormat="1" x14ac:dyDescent="0.2">
      <c r="A243" s="8" t="s">
        <v>2164</v>
      </c>
      <c r="B243" s="8"/>
      <c r="C243" s="9">
        <f>100%-70%</f>
        <v>0.30000000000000004</v>
      </c>
      <c r="D243" s="9">
        <v>0.05</v>
      </c>
      <c r="E243" s="8"/>
      <c r="F243" s="8"/>
      <c r="G243" s="8"/>
      <c r="H243" s="8"/>
      <c r="I243" s="8"/>
    </row>
    <row r="244" spans="1:9" s="1" customFormat="1" x14ac:dyDescent="0.2">
      <c r="A244" s="8"/>
      <c r="B244" s="8"/>
      <c r="C244" s="8"/>
      <c r="D244" s="8"/>
      <c r="E244" s="8"/>
      <c r="F244" s="8"/>
      <c r="G244" s="8"/>
      <c r="H244" s="8"/>
      <c r="I244" s="8"/>
    </row>
    <row r="245" spans="1:9" s="1" customFormat="1" x14ac:dyDescent="0.2">
      <c r="A245" s="8" t="s">
        <v>2165</v>
      </c>
      <c r="B245" s="8"/>
      <c r="C245" s="8"/>
      <c r="D245" s="8"/>
      <c r="E245" s="8"/>
      <c r="F245" s="8"/>
      <c r="G245" s="8"/>
      <c r="H245" s="8"/>
      <c r="I245" s="8"/>
    </row>
    <row r="246" spans="1:9" s="1" customFormat="1" x14ac:dyDescent="0.2">
      <c r="A246" s="8" t="s">
        <v>2166</v>
      </c>
      <c r="B246" s="8"/>
      <c r="C246" s="8"/>
      <c r="D246" s="8"/>
      <c r="E246" s="8"/>
      <c r="F246" s="8"/>
      <c r="G246" s="8"/>
      <c r="H246" s="8"/>
      <c r="I246" s="8"/>
    </row>
    <row r="247" spans="1:9" s="1" customFormat="1" x14ac:dyDescent="0.2">
      <c r="A247" s="8" t="s">
        <v>2167</v>
      </c>
      <c r="B247" s="8"/>
      <c r="C247" s="8"/>
      <c r="D247" s="8"/>
      <c r="E247" s="8"/>
      <c r="F247" s="8"/>
      <c r="G247" s="8"/>
      <c r="H247" s="8"/>
      <c r="I247" s="8"/>
    </row>
    <row r="248" spans="1:9" s="1" customFormat="1" x14ac:dyDescent="0.2">
      <c r="A248" s="8"/>
      <c r="B248" s="8"/>
      <c r="C248" s="8"/>
      <c r="D248" s="8"/>
      <c r="E248" s="8"/>
      <c r="F248" s="8"/>
      <c r="G248" s="8"/>
      <c r="H248" s="8"/>
      <c r="I248" s="8"/>
    </row>
    <row r="249" spans="1:9" s="1" customFormat="1" x14ac:dyDescent="0.2">
      <c r="A249" s="8" t="s">
        <v>2168</v>
      </c>
      <c r="B249" s="8"/>
      <c r="C249" s="8"/>
      <c r="D249" s="8"/>
      <c r="E249" s="8"/>
      <c r="F249" s="8"/>
      <c r="G249" s="8"/>
      <c r="H249" s="8"/>
      <c r="I249" s="8"/>
    </row>
    <row r="250" spans="1:9" s="1" customFormat="1" x14ac:dyDescent="0.2">
      <c r="A250" s="8" t="s">
        <v>3678</v>
      </c>
      <c r="B250" s="8"/>
      <c r="C250" s="8"/>
      <c r="D250" s="8"/>
      <c r="E250" s="8"/>
      <c r="F250" s="8"/>
      <c r="G250" s="8"/>
      <c r="H250" s="8"/>
      <c r="I250" s="8"/>
    </row>
    <row r="251" spans="1:9" s="1" customFormat="1" x14ac:dyDescent="0.2">
      <c r="A251" s="8"/>
      <c r="B251" s="8"/>
      <c r="C251" s="8"/>
      <c r="D251" s="8"/>
      <c r="E251" s="8"/>
      <c r="F251" s="8"/>
      <c r="G251" s="8"/>
      <c r="H251" s="8"/>
      <c r="I251" s="8"/>
    </row>
    <row r="252" spans="1:9" s="1" customFormat="1" x14ac:dyDescent="0.2">
      <c r="A252" s="14" t="s">
        <v>2150</v>
      </c>
      <c r="B252" s="8"/>
      <c r="C252" s="8"/>
      <c r="D252" s="8"/>
      <c r="E252" s="8"/>
      <c r="F252" s="8"/>
      <c r="G252" s="8"/>
      <c r="H252" s="8"/>
      <c r="I252" s="8"/>
    </row>
    <row r="253" spans="1:9" s="1" customFormat="1" x14ac:dyDescent="0.2">
      <c r="A253" s="14" t="s">
        <v>2151</v>
      </c>
      <c r="B253" s="8"/>
      <c r="C253" s="8"/>
      <c r="D253" s="8"/>
      <c r="E253" s="8"/>
      <c r="F253" s="8"/>
      <c r="G253" s="8"/>
      <c r="H253" s="8"/>
      <c r="I253" s="8"/>
    </row>
    <row r="254" spans="1:9" s="1" customFormat="1" x14ac:dyDescent="0.2">
      <c r="A254" s="8"/>
      <c r="B254" s="8"/>
      <c r="C254" s="8"/>
      <c r="D254" s="8"/>
      <c r="E254" s="8"/>
      <c r="F254" s="8"/>
      <c r="G254" s="8"/>
      <c r="H254" s="8"/>
      <c r="I254" s="8"/>
    </row>
    <row r="255" spans="1:9" s="1" customFormat="1" x14ac:dyDescent="0.2">
      <c r="A255" s="8"/>
      <c r="B255" s="8"/>
      <c r="C255" s="323" t="s">
        <v>2159</v>
      </c>
      <c r="D255" s="323" t="s">
        <v>2160</v>
      </c>
      <c r="E255" s="8"/>
      <c r="F255" s="8" t="s">
        <v>798</v>
      </c>
      <c r="G255" s="8"/>
      <c r="H255" s="8"/>
      <c r="I255" s="8"/>
    </row>
    <row r="256" spans="1:9" s="1" customFormat="1" x14ac:dyDescent="0.2">
      <c r="A256" s="8" t="s">
        <v>1426</v>
      </c>
      <c r="B256" s="8"/>
      <c r="C256" s="9">
        <v>0.15</v>
      </c>
      <c r="D256" s="521" t="s">
        <v>53</v>
      </c>
      <c r="E256" s="8"/>
      <c r="F256" s="8" t="s">
        <v>2161</v>
      </c>
      <c r="G256" s="8"/>
      <c r="H256" s="8"/>
      <c r="I256" s="8"/>
    </row>
    <row r="257" spans="1:9" s="1" customFormat="1" x14ac:dyDescent="0.2">
      <c r="A257" s="8" t="s">
        <v>2162</v>
      </c>
      <c r="B257" s="8"/>
      <c r="C257" s="9">
        <v>0.7</v>
      </c>
      <c r="D257" s="9">
        <v>0.95</v>
      </c>
      <c r="E257" s="8"/>
      <c r="F257" s="8" t="s">
        <v>2163</v>
      </c>
      <c r="G257" s="8"/>
      <c r="H257" s="8"/>
      <c r="I257" s="8"/>
    </row>
    <row r="258" spans="1:9" s="1" customFormat="1" x14ac:dyDescent="0.2">
      <c r="A258" s="8" t="s">
        <v>2164</v>
      </c>
      <c r="B258" s="8"/>
      <c r="C258" s="9">
        <f>100%-70%</f>
        <v>0.30000000000000004</v>
      </c>
      <c r="D258" s="9">
        <v>0.05</v>
      </c>
      <c r="E258" s="8"/>
      <c r="F258" s="8"/>
      <c r="G258" s="8"/>
      <c r="H258" s="8"/>
      <c r="I258" s="8"/>
    </row>
    <row r="259" spans="1:9" s="1" customFormat="1" x14ac:dyDescent="0.2">
      <c r="A259" s="8"/>
      <c r="B259" s="8"/>
      <c r="C259" s="8"/>
      <c r="D259" s="8"/>
      <c r="E259" s="8"/>
      <c r="F259" s="8"/>
      <c r="G259" s="8"/>
      <c r="H259" s="8"/>
      <c r="I259" s="8"/>
    </row>
    <row r="260" spans="1:9" s="1" customFormat="1" x14ac:dyDescent="0.2">
      <c r="A260" s="8" t="s">
        <v>3679</v>
      </c>
      <c r="B260" s="8"/>
      <c r="C260" s="8"/>
      <c r="D260" s="8"/>
      <c r="E260" s="8"/>
      <c r="F260" s="8"/>
      <c r="G260" s="8"/>
      <c r="H260" s="8"/>
      <c r="I260" s="8"/>
    </row>
    <row r="261" spans="1:9" s="1" customFormat="1" x14ac:dyDescent="0.2">
      <c r="A261" s="8"/>
      <c r="B261" s="8"/>
      <c r="C261" s="8"/>
      <c r="D261" s="8"/>
      <c r="E261" s="8"/>
      <c r="F261" s="8"/>
      <c r="G261" s="8"/>
      <c r="H261" s="8"/>
      <c r="I261" s="8"/>
    </row>
    <row r="262" spans="1:9" s="1" customFormat="1" x14ac:dyDescent="0.2">
      <c r="A262" s="14" t="s">
        <v>2152</v>
      </c>
      <c r="B262" s="8"/>
      <c r="C262" s="8"/>
      <c r="D262" s="8"/>
      <c r="E262" s="8"/>
      <c r="F262" s="8"/>
      <c r="G262" s="8"/>
      <c r="H262" s="8"/>
      <c r="I262" s="8"/>
    </row>
    <row r="263" spans="1:9" s="1" customFormat="1" x14ac:dyDescent="0.2">
      <c r="A263" s="14" t="s">
        <v>2153</v>
      </c>
      <c r="B263" s="8"/>
      <c r="C263" s="8"/>
      <c r="D263" s="8"/>
      <c r="E263" s="8"/>
      <c r="F263" s="8"/>
      <c r="G263" s="8"/>
      <c r="H263" s="8"/>
      <c r="I263" s="8"/>
    </row>
    <row r="264" spans="1:9" s="1" customFormat="1" x14ac:dyDescent="0.2">
      <c r="A264" s="14"/>
      <c r="B264" s="8"/>
      <c r="C264" s="8"/>
      <c r="D264" s="8"/>
      <c r="E264" s="8"/>
      <c r="F264" s="8"/>
      <c r="G264" s="8"/>
      <c r="H264" s="8"/>
      <c r="I264" s="8"/>
    </row>
    <row r="265" spans="1:9" s="1" customFormat="1" x14ac:dyDescent="0.2">
      <c r="A265" s="8" t="s">
        <v>3708</v>
      </c>
      <c r="B265" s="8"/>
      <c r="C265" s="8"/>
      <c r="D265" s="8"/>
      <c r="E265" s="8"/>
      <c r="F265" s="8"/>
      <c r="G265" s="8"/>
      <c r="H265" s="8"/>
      <c r="I265" s="8"/>
    </row>
    <row r="266" spans="1:9" s="1" customFormat="1" x14ac:dyDescent="0.2">
      <c r="A266" s="8" t="s">
        <v>3709</v>
      </c>
      <c r="B266" s="8"/>
      <c r="C266" s="8"/>
      <c r="D266" s="8"/>
      <c r="E266" s="8"/>
      <c r="F266" s="8"/>
      <c r="G266" s="8"/>
      <c r="H266" s="8"/>
      <c r="I266" s="8"/>
    </row>
    <row r="267" spans="1:9" s="1" customFormat="1" x14ac:dyDescent="0.2">
      <c r="A267" s="8" t="s">
        <v>3710</v>
      </c>
      <c r="B267" s="8"/>
      <c r="C267" s="8"/>
      <c r="D267" s="8"/>
      <c r="E267" s="8"/>
      <c r="F267" s="8"/>
      <c r="G267" s="8"/>
      <c r="H267" s="8"/>
      <c r="I267" s="8"/>
    </row>
    <row r="268" spans="1:9" s="1" customFormat="1" x14ac:dyDescent="0.2">
      <c r="A268" s="8" t="s">
        <v>3711</v>
      </c>
      <c r="B268" s="8"/>
      <c r="C268" s="8"/>
      <c r="D268" s="8"/>
      <c r="E268" s="8"/>
      <c r="F268" s="8"/>
      <c r="G268" s="8"/>
      <c r="H268" s="8"/>
      <c r="I268" s="8"/>
    </row>
    <row r="269" spans="1:9" s="1" customFormat="1" x14ac:dyDescent="0.2">
      <c r="A269" s="14"/>
      <c r="B269" s="8"/>
      <c r="C269" s="8"/>
      <c r="D269" s="8"/>
      <c r="E269" s="8"/>
      <c r="F269" s="8"/>
      <c r="G269" s="8"/>
      <c r="H269" s="8"/>
      <c r="I269" s="8"/>
    </row>
    <row r="270" spans="1:9" s="1" customFormat="1" x14ac:dyDescent="0.2">
      <c r="A270" s="14" t="s">
        <v>2154</v>
      </c>
      <c r="B270" s="8"/>
      <c r="C270" s="8"/>
      <c r="D270" s="8"/>
      <c r="E270" s="8"/>
      <c r="F270" s="8"/>
      <c r="G270" s="8"/>
      <c r="H270" s="8"/>
      <c r="I270" s="8"/>
    </row>
    <row r="271" spans="1:9" s="1" customFormat="1" x14ac:dyDescent="0.2">
      <c r="A271" s="14" t="s">
        <v>2155</v>
      </c>
      <c r="B271" s="8"/>
      <c r="C271" s="8"/>
      <c r="D271" s="8"/>
      <c r="E271" s="8"/>
      <c r="F271" s="8"/>
      <c r="G271" s="8"/>
      <c r="H271" s="8"/>
      <c r="I271" s="8"/>
    </row>
    <row r="272" spans="1:9" s="1" customFormat="1" x14ac:dyDescent="0.2">
      <c r="A272" s="14"/>
      <c r="B272" s="8"/>
      <c r="C272" s="8"/>
      <c r="D272" s="8"/>
      <c r="E272" s="8"/>
      <c r="F272" s="8"/>
      <c r="G272" s="8"/>
      <c r="H272" s="8"/>
      <c r="I272" s="8"/>
    </row>
    <row r="273" spans="1:9" s="1" customFormat="1" x14ac:dyDescent="0.2">
      <c r="A273" s="8" t="s">
        <v>3712</v>
      </c>
      <c r="B273" s="8"/>
      <c r="C273" s="8"/>
      <c r="D273" s="8"/>
      <c r="E273" s="8"/>
      <c r="F273" s="8"/>
      <c r="G273" s="8"/>
      <c r="H273" s="8"/>
      <c r="I273" s="8"/>
    </row>
    <row r="274" spans="1:9" s="1" customFormat="1" x14ac:dyDescent="0.2">
      <c r="A274" s="8" t="s">
        <v>3713</v>
      </c>
      <c r="B274" s="8"/>
      <c r="C274" s="8"/>
      <c r="D274" s="8"/>
      <c r="E274" s="8"/>
      <c r="F274" s="8"/>
      <c r="G274" s="8"/>
      <c r="H274" s="8"/>
      <c r="I274" s="8"/>
    </row>
    <row r="275" spans="1:9" s="1" customFormat="1" x14ac:dyDescent="0.2">
      <c r="A275" s="8" t="s">
        <v>3714</v>
      </c>
      <c r="B275" s="8"/>
      <c r="C275" s="8"/>
      <c r="D275" s="8"/>
      <c r="E275" s="8"/>
      <c r="F275" s="8"/>
      <c r="G275" s="8"/>
      <c r="H275" s="8"/>
      <c r="I275" s="8"/>
    </row>
    <row r="276" spans="1:9" s="1" customFormat="1" x14ac:dyDescent="0.2">
      <c r="A276" s="8" t="s">
        <v>3715</v>
      </c>
      <c r="B276" s="8"/>
      <c r="C276" s="8"/>
      <c r="D276" s="8"/>
      <c r="E276" s="8"/>
      <c r="F276" s="8"/>
      <c r="G276" s="8"/>
      <c r="H276" s="8"/>
      <c r="I276" s="8"/>
    </row>
    <row r="277" spans="1:9" s="1" customFormat="1" x14ac:dyDescent="0.2">
      <c r="A277" s="14"/>
      <c r="B277" s="8"/>
      <c r="C277" s="8"/>
      <c r="D277" s="8"/>
      <c r="E277" s="8"/>
      <c r="F277" s="8"/>
      <c r="G277" s="8"/>
      <c r="H277" s="8"/>
      <c r="I277" s="8"/>
    </row>
    <row r="278" spans="1:9" s="1" customFormat="1" x14ac:dyDescent="0.2">
      <c r="A278" s="14" t="s">
        <v>2156</v>
      </c>
      <c r="B278" s="8"/>
      <c r="C278" s="8"/>
      <c r="D278" s="8"/>
      <c r="E278" s="8"/>
      <c r="F278" s="8"/>
      <c r="G278" s="8"/>
      <c r="H278" s="8"/>
      <c r="I278" s="8"/>
    </row>
    <row r="279" spans="1:9" s="1" customFormat="1" x14ac:dyDescent="0.2">
      <c r="A279" s="14" t="s">
        <v>2157</v>
      </c>
      <c r="B279" s="8"/>
      <c r="C279" s="8"/>
      <c r="D279" s="8"/>
      <c r="E279" s="8"/>
      <c r="F279" s="8"/>
      <c r="G279" s="8"/>
      <c r="H279" s="8"/>
      <c r="I279" s="8"/>
    </row>
    <row r="280" spans="1:9" s="1" customFormat="1" x14ac:dyDescent="0.2">
      <c r="A280" s="8"/>
      <c r="B280" s="8"/>
      <c r="C280" s="8"/>
      <c r="D280" s="8"/>
      <c r="E280" s="8"/>
      <c r="F280" s="8"/>
      <c r="G280" s="8"/>
      <c r="H280" s="8"/>
      <c r="I280" s="8"/>
    </row>
    <row r="281" spans="1:9" s="1" customFormat="1" x14ac:dyDescent="0.2">
      <c r="A281" s="8"/>
      <c r="B281" s="8"/>
      <c r="C281" s="108" t="s">
        <v>2159</v>
      </c>
      <c r="D281" s="108" t="s">
        <v>2160</v>
      </c>
      <c r="E281" s="8"/>
      <c r="F281" s="8" t="s">
        <v>798</v>
      </c>
      <c r="G281" s="8"/>
      <c r="H281" s="8"/>
      <c r="I281" s="8"/>
    </row>
    <row r="282" spans="1:9" s="1" customFormat="1" x14ac:dyDescent="0.2">
      <c r="A282" s="8" t="s">
        <v>1426</v>
      </c>
      <c r="B282" s="8"/>
      <c r="C282" s="65">
        <v>0.15</v>
      </c>
      <c r="D282" s="62" t="s">
        <v>53</v>
      </c>
      <c r="E282" s="8"/>
      <c r="F282" s="8" t="s">
        <v>2161</v>
      </c>
      <c r="G282" s="8"/>
      <c r="H282" s="8"/>
      <c r="I282" s="8"/>
    </row>
    <row r="283" spans="1:9" s="1" customFormat="1" x14ac:dyDescent="0.2">
      <c r="A283" s="8" t="s">
        <v>2169</v>
      </c>
      <c r="B283" s="8"/>
      <c r="C283" s="534" t="s">
        <v>2170</v>
      </c>
      <c r="D283" s="534" t="s">
        <v>2171</v>
      </c>
      <c r="E283" s="8"/>
      <c r="F283" s="8" t="s">
        <v>2163</v>
      </c>
      <c r="G283" s="8"/>
      <c r="H283" s="8"/>
      <c r="I283" s="8"/>
    </row>
    <row r="284" spans="1:9" s="1" customFormat="1" x14ac:dyDescent="0.2">
      <c r="A284" s="8" t="s">
        <v>2162</v>
      </c>
      <c r="B284" s="8"/>
      <c r="C284" s="65">
        <v>0.7</v>
      </c>
      <c r="D284" s="65">
        <v>0.95</v>
      </c>
      <c r="E284" s="8"/>
      <c r="F284" s="8"/>
      <c r="G284" s="8"/>
      <c r="H284" s="8"/>
      <c r="I284" s="8"/>
    </row>
    <row r="285" spans="1:9" s="1" customFormat="1" x14ac:dyDescent="0.2">
      <c r="A285" s="8" t="s">
        <v>2164</v>
      </c>
      <c r="B285" s="8"/>
      <c r="C285" s="65">
        <f>100%-70%</f>
        <v>0.30000000000000004</v>
      </c>
      <c r="D285" s="65">
        <v>0.05</v>
      </c>
      <c r="E285" s="8"/>
      <c r="F285" s="8"/>
      <c r="G285" s="8"/>
      <c r="H285" s="8"/>
      <c r="I285" s="8"/>
    </row>
    <row r="286" spans="1:9" s="1" customFormat="1" x14ac:dyDescent="0.2">
      <c r="A286" s="8"/>
      <c r="B286" s="8"/>
      <c r="C286" s="8"/>
      <c r="D286" s="8"/>
      <c r="E286" s="8"/>
      <c r="F286" s="8"/>
      <c r="G286" s="8"/>
      <c r="H286" s="8"/>
      <c r="I286" s="8"/>
    </row>
    <row r="287" spans="1:9" s="1" customFormat="1" x14ac:dyDescent="0.2">
      <c r="A287" s="14" t="s">
        <v>2172</v>
      </c>
      <c r="B287" s="14"/>
      <c r="C287" s="14"/>
      <c r="D287" s="14"/>
      <c r="E287" s="14"/>
      <c r="F287" s="14"/>
      <c r="G287" s="14"/>
      <c r="H287" s="14"/>
      <c r="I287" s="8"/>
    </row>
    <row r="288" spans="1:9" s="1" customFormat="1" x14ac:dyDescent="0.2">
      <c r="A288" s="14" t="s">
        <v>2173</v>
      </c>
      <c r="B288" s="14"/>
      <c r="C288" s="14"/>
      <c r="D288" s="14"/>
      <c r="E288" s="14"/>
      <c r="F288" s="14"/>
      <c r="G288" s="14"/>
      <c r="H288" s="14"/>
      <c r="I288" s="8"/>
    </row>
    <row r="289" spans="1:9" s="1" customFormat="1" x14ac:dyDescent="0.2">
      <c r="A289" s="14"/>
      <c r="B289" s="14"/>
      <c r="C289" s="14"/>
      <c r="D289" s="14"/>
      <c r="E289" s="14"/>
      <c r="F289" s="14" t="s">
        <v>2174</v>
      </c>
      <c r="G289" s="14"/>
      <c r="H289" s="14"/>
      <c r="I289" s="8"/>
    </row>
    <row r="290" spans="1:9" s="1" customFormat="1" x14ac:dyDescent="0.2">
      <c r="A290" s="14" t="s">
        <v>2175</v>
      </c>
      <c r="B290" s="8"/>
      <c r="C290" s="8"/>
      <c r="D290" s="8"/>
      <c r="E290" s="8"/>
      <c r="F290" s="8"/>
      <c r="G290" s="8"/>
      <c r="H290" s="8"/>
      <c r="I290" s="8"/>
    </row>
    <row r="291" spans="1:9" s="1" customFormat="1" x14ac:dyDescent="0.2">
      <c r="A291" s="8"/>
      <c r="B291" s="8"/>
      <c r="C291" s="8"/>
      <c r="D291" s="8"/>
      <c r="E291" s="8"/>
      <c r="F291" s="8"/>
      <c r="G291" s="8"/>
      <c r="H291" s="8"/>
      <c r="I291" s="8"/>
    </row>
    <row r="292" spans="1:9" s="1" customFormat="1" x14ac:dyDescent="0.2">
      <c r="A292" s="8"/>
      <c r="B292" s="8"/>
      <c r="C292" s="8"/>
      <c r="D292" s="8"/>
      <c r="E292" s="8"/>
      <c r="F292" s="8"/>
      <c r="G292" s="8"/>
      <c r="H292" s="8"/>
      <c r="I292" s="8"/>
    </row>
    <row r="293" spans="1:9" s="1" customFormat="1" x14ac:dyDescent="0.2">
      <c r="A293" s="8"/>
      <c r="B293" s="8"/>
      <c r="C293" s="8"/>
      <c r="D293" s="8"/>
      <c r="E293" s="8"/>
      <c r="F293" s="8"/>
      <c r="G293" s="8"/>
      <c r="H293" s="8"/>
      <c r="I293" s="8"/>
    </row>
    <row r="294" spans="1:9" s="1" customFormat="1" x14ac:dyDescent="0.2">
      <c r="A294" s="3" t="s">
        <v>3685</v>
      </c>
      <c r="B294" s="3"/>
      <c r="C294" s="3"/>
      <c r="D294" s="3"/>
      <c r="E294" s="3"/>
      <c r="F294" s="3"/>
      <c r="G294" s="3"/>
      <c r="H294" s="3"/>
    </row>
    <row r="295" spans="1:9" s="1" customFormat="1" x14ac:dyDescent="0.2"/>
    <row r="296" spans="1:9" s="1" customFormat="1" x14ac:dyDescent="0.2">
      <c r="A296" s="1" t="s">
        <v>3680</v>
      </c>
    </row>
    <row r="297" spans="1:9" s="1" customFormat="1" x14ac:dyDescent="0.2">
      <c r="A297" s="1" t="s">
        <v>3681</v>
      </c>
    </row>
    <row r="298" spans="1:9" s="1" customFormat="1" x14ac:dyDescent="0.2">
      <c r="A298" s="1" t="s">
        <v>3718</v>
      </c>
    </row>
    <row r="299" spans="1:9" s="1" customFormat="1" x14ac:dyDescent="0.2">
      <c r="A299" s="1" t="s">
        <v>3682</v>
      </c>
    </row>
    <row r="300" spans="1:9" s="1" customFormat="1" x14ac:dyDescent="0.2">
      <c r="A300" s="1" t="s">
        <v>3683</v>
      </c>
    </row>
    <row r="301" spans="1:9" s="1" customFormat="1" x14ac:dyDescent="0.2">
      <c r="A301" s="1" t="s">
        <v>3684</v>
      </c>
    </row>
    <row r="302" spans="1:9" s="1" customFormat="1" x14ac:dyDescent="0.2"/>
    <row r="303" spans="1:9" s="1" customFormat="1" x14ac:dyDescent="0.2">
      <c r="A303" s="1" t="s">
        <v>3716</v>
      </c>
    </row>
    <row r="304" spans="1:9" x14ac:dyDescent="0.2">
      <c r="A304" s="8" t="s">
        <v>3717</v>
      </c>
      <c r="B304" s="544"/>
      <c r="C304" s="544"/>
      <c r="D304" s="544"/>
      <c r="E304" s="544"/>
      <c r="F304" s="544"/>
      <c r="G304" s="544"/>
      <c r="H304" s="544"/>
      <c r="I304" s="544"/>
    </row>
    <row r="305" spans="1:9" s="1" customFormat="1" x14ac:dyDescent="0.2">
      <c r="A305" s="8" t="s">
        <v>3719</v>
      </c>
      <c r="B305" s="8"/>
      <c r="C305" s="8"/>
      <c r="D305" s="8"/>
      <c r="E305" s="8"/>
      <c r="F305" s="8"/>
      <c r="G305" s="8"/>
      <c r="H305" s="8"/>
      <c r="I305" s="8"/>
    </row>
    <row r="306" spans="1:9" s="1" customFormat="1" x14ac:dyDescent="0.2">
      <c r="A306" s="8" t="s">
        <v>3720</v>
      </c>
      <c r="B306" s="8"/>
      <c r="C306" s="8"/>
      <c r="D306" s="8"/>
      <c r="E306" s="8"/>
      <c r="F306" s="8"/>
      <c r="G306" s="8"/>
      <c r="H306" s="8"/>
      <c r="I306" s="8"/>
    </row>
    <row r="307" spans="1:9" x14ac:dyDescent="0.2">
      <c r="A307" s="8" t="s">
        <v>3721</v>
      </c>
      <c r="B307" s="544"/>
      <c r="C307" s="544"/>
      <c r="D307" s="544"/>
      <c r="E307" s="544"/>
      <c r="F307" s="544"/>
      <c r="G307" s="544"/>
      <c r="H307" s="544"/>
      <c r="I307" s="544"/>
    </row>
    <row r="308" spans="1:9" x14ac:dyDescent="0.2">
      <c r="A308" s="8" t="s">
        <v>3722</v>
      </c>
      <c r="B308" s="544"/>
      <c r="C308" s="544"/>
      <c r="D308" s="544"/>
      <c r="E308" s="544"/>
      <c r="F308" s="544"/>
      <c r="G308" s="544"/>
      <c r="H308" s="544"/>
      <c r="I308" s="544"/>
    </row>
    <row r="309" spans="1:9" s="1" customFormat="1" x14ac:dyDescent="0.2">
      <c r="A309" s="8" t="s">
        <v>3725</v>
      </c>
      <c r="B309" s="8"/>
      <c r="C309" s="8"/>
      <c r="D309" s="8"/>
      <c r="E309" s="8"/>
      <c r="F309" s="8"/>
      <c r="G309" s="8"/>
      <c r="H309" s="8"/>
      <c r="I309" s="8"/>
    </row>
    <row r="310" spans="1:9" s="1" customFormat="1" x14ac:dyDescent="0.2">
      <c r="A310" s="8" t="s">
        <v>3723</v>
      </c>
      <c r="B310" s="8"/>
      <c r="C310" s="8"/>
      <c r="D310" s="8"/>
      <c r="E310" s="8"/>
      <c r="F310" s="8"/>
      <c r="G310" s="8"/>
      <c r="H310" s="8"/>
      <c r="I310" s="8"/>
    </row>
    <row r="311" spans="1:9" s="1" customFormat="1" x14ac:dyDescent="0.2">
      <c r="A311" s="8" t="s">
        <v>3724</v>
      </c>
      <c r="B311" s="8"/>
      <c r="C311" s="8"/>
      <c r="D311" s="8"/>
      <c r="E311" s="8"/>
      <c r="F311" s="8"/>
      <c r="G311" s="8"/>
      <c r="H311" s="8"/>
      <c r="I311" s="8"/>
    </row>
    <row r="312" spans="1:9" s="1" customFormat="1" x14ac:dyDescent="0.2">
      <c r="A312" s="8" t="s">
        <v>3726</v>
      </c>
      <c r="B312" s="8"/>
      <c r="C312" s="8"/>
      <c r="D312" s="8"/>
      <c r="E312" s="8"/>
      <c r="F312" s="8"/>
      <c r="G312" s="8"/>
      <c r="H312" s="8"/>
      <c r="I312" s="8"/>
    </row>
    <row r="313" spans="1:9" x14ac:dyDescent="0.2">
      <c r="A313" s="544"/>
      <c r="B313" s="544"/>
      <c r="C313" s="544"/>
      <c r="D313" s="544"/>
      <c r="E313" s="544"/>
      <c r="F313" s="544"/>
      <c r="G313" s="544"/>
      <c r="H313" s="544"/>
      <c r="I313" s="544"/>
    </row>
    <row r="314" spans="1:9" x14ac:dyDescent="0.2">
      <c r="A314" s="544"/>
      <c r="B314" s="544"/>
      <c r="C314" s="544"/>
      <c r="D314" s="544"/>
      <c r="E314" s="544"/>
      <c r="F314" s="544"/>
      <c r="G314" s="544"/>
      <c r="H314" s="544"/>
      <c r="I314" s="544"/>
    </row>
    <row r="315" spans="1:9" x14ac:dyDescent="0.2">
      <c r="A315" s="544"/>
      <c r="B315" s="544"/>
      <c r="C315" s="544"/>
      <c r="D315" s="544"/>
      <c r="E315" s="544"/>
      <c r="F315" s="544"/>
      <c r="G315" s="544"/>
      <c r="H315" s="544"/>
      <c r="I315" s="544"/>
    </row>
    <row r="316" spans="1:9" x14ac:dyDescent="0.2">
      <c r="A316" s="544"/>
      <c r="B316" s="544"/>
      <c r="C316" s="544"/>
      <c r="D316" s="544"/>
      <c r="E316" s="544"/>
      <c r="F316" s="544"/>
      <c r="G316" s="544"/>
      <c r="H316" s="544"/>
      <c r="I316" s="544"/>
    </row>
    <row r="317" spans="1:9" x14ac:dyDescent="0.2">
      <c r="A317" s="541" t="s">
        <v>3690</v>
      </c>
      <c r="B317" s="541"/>
      <c r="C317" s="541"/>
      <c r="D317" s="541" t="s">
        <v>225</v>
      </c>
      <c r="E317" s="541"/>
      <c r="F317" s="541"/>
      <c r="G317" s="541"/>
      <c r="H317" s="541"/>
      <c r="I317" s="544"/>
    </row>
    <row r="318" spans="1:9" x14ac:dyDescent="0.2">
      <c r="A318" s="544"/>
      <c r="B318" s="544"/>
      <c r="C318" s="544"/>
      <c r="D318" s="544"/>
      <c r="E318" s="544"/>
      <c r="F318" s="544"/>
      <c r="G318" s="544"/>
      <c r="H318" s="544"/>
      <c r="I318" s="544"/>
    </row>
    <row r="319" spans="1:9" s="1" customFormat="1" x14ac:dyDescent="0.2">
      <c r="A319" s="1" t="s">
        <v>3680</v>
      </c>
    </row>
    <row r="320" spans="1:9" s="1" customFormat="1" x14ac:dyDescent="0.2">
      <c r="A320" s="1" t="s">
        <v>3686</v>
      </c>
    </row>
    <row r="321" spans="1:9" s="1" customFormat="1" x14ac:dyDescent="0.2">
      <c r="A321" s="1" t="s">
        <v>3687</v>
      </c>
    </row>
    <row r="322" spans="1:9" s="1" customFormat="1" x14ac:dyDescent="0.2">
      <c r="A322" s="1" t="s">
        <v>3688</v>
      </c>
    </row>
    <row r="323" spans="1:9" s="1" customFormat="1" x14ac:dyDescent="0.2">
      <c r="A323" s="1" t="s">
        <v>3689</v>
      </c>
    </row>
    <row r="324" spans="1:9" s="1" customFormat="1" x14ac:dyDescent="0.2">
      <c r="A324" s="1" t="s">
        <v>3684</v>
      </c>
    </row>
    <row r="325" spans="1:9" x14ac:dyDescent="0.2">
      <c r="A325" s="544"/>
      <c r="B325" s="544"/>
      <c r="C325" s="544"/>
      <c r="D325" s="544"/>
      <c r="E325" s="544"/>
      <c r="F325" s="544"/>
      <c r="G325" s="544"/>
      <c r="H325" s="544"/>
      <c r="I325" s="544"/>
    </row>
    <row r="326" spans="1:9" s="1" customFormat="1" x14ac:dyDescent="0.2">
      <c r="A326" s="8" t="s">
        <v>3727</v>
      </c>
      <c r="B326" s="8"/>
      <c r="C326" s="8"/>
      <c r="D326" s="8"/>
      <c r="E326" s="8"/>
      <c r="F326" s="8"/>
      <c r="G326" s="8"/>
      <c r="H326" s="8"/>
      <c r="I326" s="8"/>
    </row>
    <row r="327" spans="1:9" x14ac:dyDescent="0.2">
      <c r="A327" s="8" t="s">
        <v>3728</v>
      </c>
      <c r="B327" s="8"/>
      <c r="C327" s="8"/>
      <c r="D327" s="8"/>
      <c r="E327" s="8"/>
      <c r="F327" s="8"/>
      <c r="G327" s="8"/>
      <c r="H327" s="8"/>
      <c r="I327" s="544"/>
    </row>
    <row r="328" spans="1:9" x14ac:dyDescent="0.2">
      <c r="A328" s="8" t="s">
        <v>3729</v>
      </c>
      <c r="B328" s="8"/>
      <c r="C328" s="8"/>
      <c r="D328" s="8"/>
      <c r="E328" s="8"/>
      <c r="F328" s="8"/>
      <c r="G328" s="8"/>
      <c r="H328" s="8"/>
      <c r="I328" s="544"/>
    </row>
    <row r="329" spans="1:9" x14ac:dyDescent="0.2">
      <c r="A329" s="8" t="s">
        <v>3730</v>
      </c>
      <c r="B329" s="8"/>
      <c r="C329" s="8"/>
      <c r="D329" s="8"/>
      <c r="E329" s="8"/>
      <c r="F329" s="8"/>
      <c r="G329" s="8"/>
      <c r="H329" s="8"/>
      <c r="I329" s="544"/>
    </row>
    <row r="330" spans="1:9" x14ac:dyDescent="0.2">
      <c r="A330" s="8" t="s">
        <v>3731</v>
      </c>
      <c r="B330" s="8"/>
      <c r="C330" s="8"/>
      <c r="D330" s="8"/>
      <c r="E330" s="8"/>
      <c r="F330" s="8"/>
      <c r="G330" s="8"/>
      <c r="H330" s="8"/>
      <c r="I330" s="544"/>
    </row>
    <row r="331" spans="1:9" x14ac:dyDescent="0.2">
      <c r="A331" s="8" t="s">
        <v>3732</v>
      </c>
      <c r="B331" s="8"/>
      <c r="C331" s="8"/>
      <c r="D331" s="8"/>
      <c r="E331" s="8"/>
      <c r="F331" s="8"/>
      <c r="G331" s="8"/>
      <c r="H331" s="8"/>
      <c r="I331" s="544"/>
    </row>
    <row r="332" spans="1:9" x14ac:dyDescent="0.2">
      <c r="A332" s="544"/>
      <c r="B332" s="544"/>
      <c r="C332" s="544"/>
      <c r="D332" s="544"/>
      <c r="E332" s="544"/>
      <c r="F332" s="544"/>
      <c r="G332" s="544"/>
      <c r="H332" s="544"/>
      <c r="I332" s="544"/>
    </row>
    <row r="333" spans="1:9" x14ac:dyDescent="0.2">
      <c r="A333" s="544"/>
      <c r="B333" s="544"/>
      <c r="C333" s="544"/>
      <c r="D333" s="544"/>
      <c r="E333" s="544"/>
      <c r="F333" s="544"/>
      <c r="G333" s="544"/>
      <c r="H333" s="544"/>
      <c r="I333" s="544"/>
    </row>
    <row r="334" spans="1:9" x14ac:dyDescent="0.2">
      <c r="A334" s="544"/>
      <c r="B334" s="544"/>
      <c r="C334" s="544"/>
      <c r="D334" s="544"/>
      <c r="E334" s="544"/>
      <c r="F334" s="544"/>
      <c r="G334" s="544"/>
      <c r="H334" s="544"/>
      <c r="I334" s="544"/>
    </row>
    <row r="335" spans="1:9" x14ac:dyDescent="0.2">
      <c r="A335" s="544"/>
      <c r="B335" s="544"/>
      <c r="C335" s="544"/>
      <c r="D335" s="544"/>
      <c r="E335" s="544"/>
      <c r="F335" s="544"/>
      <c r="G335" s="544"/>
      <c r="H335" s="544"/>
      <c r="I335" s="544"/>
    </row>
    <row r="336" spans="1:9" x14ac:dyDescent="0.2">
      <c r="A336" s="544"/>
      <c r="B336" s="544"/>
      <c r="C336" s="544"/>
      <c r="D336" s="544"/>
      <c r="E336" s="544"/>
      <c r="F336" s="544"/>
      <c r="G336" s="544"/>
      <c r="H336" s="544"/>
      <c r="I336" s="544"/>
    </row>
    <row r="337" spans="1:9" x14ac:dyDescent="0.2">
      <c r="A337" s="544"/>
      <c r="B337" s="544"/>
      <c r="C337" s="544"/>
      <c r="D337" s="544"/>
      <c r="E337" s="544"/>
      <c r="F337" s="544"/>
      <c r="G337" s="544"/>
      <c r="H337" s="544"/>
      <c r="I337" s="544"/>
    </row>
    <row r="338" spans="1:9" x14ac:dyDescent="0.2">
      <c r="A338" s="544"/>
      <c r="B338" s="544"/>
      <c r="C338" s="544"/>
      <c r="D338" s="544"/>
      <c r="E338" s="544"/>
      <c r="F338" s="544"/>
      <c r="G338" s="544"/>
      <c r="H338" s="544"/>
      <c r="I338" s="544"/>
    </row>
    <row r="339" spans="1:9" x14ac:dyDescent="0.2">
      <c r="A339" s="544"/>
      <c r="B339" s="544"/>
      <c r="C339" s="544"/>
      <c r="D339" s="544"/>
      <c r="E339" s="544"/>
      <c r="F339" s="544"/>
      <c r="G339" s="544"/>
      <c r="H339" s="544"/>
      <c r="I339" s="544"/>
    </row>
    <row r="340" spans="1:9" x14ac:dyDescent="0.2">
      <c r="A340" s="544"/>
      <c r="B340" s="544"/>
      <c r="C340" s="544"/>
      <c r="D340" s="544"/>
      <c r="E340" s="544"/>
      <c r="F340" s="544"/>
      <c r="G340" s="544"/>
      <c r="H340" s="544"/>
      <c r="I340" s="544"/>
    </row>
    <row r="341" spans="1:9" x14ac:dyDescent="0.2">
      <c r="A341" s="544"/>
      <c r="B341" s="544"/>
      <c r="C341" s="544"/>
      <c r="D341" s="544"/>
      <c r="E341" s="544"/>
      <c r="F341" s="544"/>
      <c r="G341" s="544"/>
      <c r="H341" s="544"/>
      <c r="I341" s="544"/>
    </row>
    <row r="342" spans="1:9" x14ac:dyDescent="0.2">
      <c r="A342" s="544"/>
      <c r="B342" s="544"/>
      <c r="C342" s="544"/>
      <c r="D342" s="544"/>
      <c r="E342" s="544"/>
      <c r="F342" s="544"/>
      <c r="G342" s="544"/>
      <c r="H342" s="544"/>
      <c r="I342" s="544"/>
    </row>
    <row r="343" spans="1:9" x14ac:dyDescent="0.2">
      <c r="A343" s="544"/>
      <c r="B343" s="544"/>
      <c r="C343" s="544"/>
      <c r="D343" s="544"/>
      <c r="E343" s="544"/>
      <c r="F343" s="544"/>
      <c r="G343" s="544"/>
      <c r="H343" s="544"/>
      <c r="I343" s="544"/>
    </row>
    <row r="344" spans="1:9" x14ac:dyDescent="0.2">
      <c r="A344" s="544"/>
      <c r="B344" s="544"/>
      <c r="C344" s="544"/>
      <c r="D344" s="544"/>
      <c r="E344" s="544"/>
      <c r="F344" s="544"/>
      <c r="G344" s="544"/>
      <c r="H344" s="544"/>
      <c r="I344" s="544"/>
    </row>
    <row r="345" spans="1:9" x14ac:dyDescent="0.2">
      <c r="A345" s="544"/>
      <c r="B345" s="544"/>
      <c r="C345" s="544"/>
      <c r="D345" s="544"/>
      <c r="E345" s="544"/>
      <c r="F345" s="544"/>
      <c r="G345" s="544"/>
      <c r="H345" s="544"/>
      <c r="I345" s="544"/>
    </row>
    <row r="346" spans="1:9" x14ac:dyDescent="0.2">
      <c r="A346" s="544"/>
      <c r="B346" s="544"/>
      <c r="C346" s="544"/>
      <c r="D346" s="544"/>
      <c r="E346" s="544"/>
      <c r="F346" s="544"/>
      <c r="G346" s="544"/>
      <c r="H346" s="544"/>
      <c r="I346" s="544"/>
    </row>
    <row r="347" spans="1:9" x14ac:dyDescent="0.2">
      <c r="A347" s="544" t="s">
        <v>3733</v>
      </c>
      <c r="B347" s="544"/>
      <c r="C347" s="544"/>
      <c r="D347" s="544"/>
      <c r="E347" s="544"/>
      <c r="F347" s="544"/>
      <c r="G347" s="544"/>
      <c r="H347" s="544"/>
      <c r="I347" s="544"/>
    </row>
    <row r="348" spans="1:9" x14ac:dyDescent="0.2">
      <c r="A348" s="544"/>
      <c r="B348" s="544"/>
      <c r="C348" s="544"/>
      <c r="D348" s="544"/>
      <c r="E348" s="544"/>
      <c r="F348" s="544"/>
      <c r="G348" s="544"/>
      <c r="H348" s="544"/>
      <c r="I348" s="544"/>
    </row>
    <row r="349" spans="1:9" x14ac:dyDescent="0.2">
      <c r="A349" s="544"/>
      <c r="B349" s="544"/>
      <c r="C349" s="544"/>
      <c r="D349" s="544"/>
      <c r="E349" s="544"/>
      <c r="F349" s="544"/>
      <c r="G349" s="544"/>
      <c r="H349" s="544"/>
      <c r="I349" s="544"/>
    </row>
    <row r="350" spans="1:9" x14ac:dyDescent="0.2">
      <c r="A350" s="544"/>
      <c r="B350" s="544"/>
      <c r="C350" s="544"/>
      <c r="D350" s="544"/>
      <c r="E350" s="544"/>
      <c r="F350" s="544"/>
      <c r="G350" s="544"/>
      <c r="H350" s="544"/>
      <c r="I350" s="544"/>
    </row>
    <row r="351" spans="1:9" x14ac:dyDescent="0.2">
      <c r="A351" s="544"/>
      <c r="B351" s="544"/>
      <c r="C351" s="544"/>
      <c r="D351" s="544"/>
      <c r="E351" s="544"/>
      <c r="F351" s="544"/>
      <c r="G351" s="544"/>
      <c r="H351" s="544"/>
      <c r="I351" s="544"/>
    </row>
    <row r="352" spans="1:9" x14ac:dyDescent="0.2">
      <c r="A352" s="544"/>
      <c r="B352" s="544"/>
      <c r="C352" s="544"/>
      <c r="D352" s="544"/>
      <c r="E352" s="544"/>
      <c r="F352" s="544"/>
      <c r="G352" s="544"/>
      <c r="H352" s="544"/>
      <c r="I352" s="544"/>
    </row>
    <row r="353" spans="1:9" x14ac:dyDescent="0.2">
      <c r="A353" s="544"/>
      <c r="B353" s="544"/>
      <c r="C353" s="544"/>
      <c r="D353" s="544"/>
      <c r="E353" s="544"/>
      <c r="F353" s="544"/>
      <c r="G353" s="544"/>
      <c r="H353" s="544"/>
      <c r="I353" s="544"/>
    </row>
    <row r="354" spans="1:9" x14ac:dyDescent="0.2">
      <c r="A354" s="544"/>
      <c r="B354" s="544"/>
      <c r="C354" s="544"/>
      <c r="D354" s="544"/>
      <c r="E354" s="544"/>
      <c r="F354" s="544"/>
      <c r="G354" s="544"/>
      <c r="H354" s="544"/>
      <c r="I354" s="544"/>
    </row>
    <row r="355" spans="1:9" x14ac:dyDescent="0.2">
      <c r="A355" s="544"/>
      <c r="B355" s="544"/>
      <c r="C355" s="544"/>
      <c r="D355" s="544"/>
      <c r="E355" s="544"/>
      <c r="F355" s="544"/>
      <c r="G355" s="544"/>
      <c r="H355" s="544"/>
      <c r="I355" s="544"/>
    </row>
    <row r="356" spans="1:9" x14ac:dyDescent="0.2">
      <c r="A356" s="544"/>
      <c r="B356" s="544"/>
      <c r="C356" s="544"/>
      <c r="D356" s="544"/>
      <c r="E356" s="544"/>
      <c r="F356" s="544"/>
      <c r="G356" s="544"/>
      <c r="H356" s="544"/>
      <c r="I356" s="544"/>
    </row>
    <row r="357" spans="1:9" x14ac:dyDescent="0.2">
      <c r="A357" s="544"/>
      <c r="B357" s="544"/>
      <c r="C357" s="544"/>
      <c r="D357" s="544"/>
      <c r="E357" s="544"/>
      <c r="F357" s="544"/>
      <c r="G357" s="544"/>
      <c r="H357" s="544"/>
      <c r="I357" s="544"/>
    </row>
    <row r="358" spans="1:9" x14ac:dyDescent="0.2">
      <c r="A358" s="544"/>
      <c r="B358" s="544"/>
      <c r="C358" s="544"/>
      <c r="D358" s="544"/>
      <c r="E358" s="544"/>
      <c r="F358" s="544"/>
      <c r="G358" s="544"/>
      <c r="H358" s="544"/>
      <c r="I358" s="544"/>
    </row>
    <row r="359" spans="1:9" x14ac:dyDescent="0.2">
      <c r="A359" s="544"/>
      <c r="B359" s="544"/>
      <c r="C359" s="544"/>
      <c r="D359" s="544"/>
      <c r="E359" s="544"/>
      <c r="F359" s="544"/>
      <c r="G359" s="544"/>
      <c r="H359" s="544"/>
      <c r="I359" s="544"/>
    </row>
    <row r="360" spans="1:9" x14ac:dyDescent="0.2">
      <c r="A360" s="544"/>
      <c r="B360" s="544"/>
      <c r="C360" s="544"/>
      <c r="D360" s="544"/>
      <c r="E360" s="544"/>
      <c r="F360" s="544"/>
      <c r="G360" s="544"/>
      <c r="H360" s="544"/>
      <c r="I360" s="544"/>
    </row>
    <row r="361" spans="1:9" x14ac:dyDescent="0.2">
      <c r="A361" s="544"/>
      <c r="B361" s="544"/>
      <c r="C361" s="544"/>
      <c r="D361" s="544"/>
      <c r="E361" s="544"/>
      <c r="F361" s="544"/>
      <c r="G361" s="544"/>
      <c r="H361" s="544"/>
      <c r="I361" s="544"/>
    </row>
    <row r="362" spans="1:9" x14ac:dyDescent="0.2">
      <c r="A362" s="544"/>
      <c r="B362" s="544"/>
      <c r="C362" s="544"/>
      <c r="D362" s="544"/>
      <c r="E362" s="544"/>
      <c r="F362" s="544"/>
      <c r="G362" s="544"/>
      <c r="H362" s="544"/>
      <c r="I362" s="544"/>
    </row>
    <row r="363" spans="1:9" x14ac:dyDescent="0.2">
      <c r="A363" s="544"/>
      <c r="B363" s="544"/>
      <c r="C363" s="544"/>
      <c r="D363" s="544"/>
      <c r="E363" s="544"/>
      <c r="F363" s="544"/>
      <c r="G363" s="544"/>
      <c r="H363" s="544"/>
      <c r="I363" s="544"/>
    </row>
    <row r="364" spans="1:9" x14ac:dyDescent="0.2">
      <c r="A364" s="544" t="s">
        <v>3734</v>
      </c>
      <c r="B364" s="544"/>
      <c r="C364" s="544"/>
      <c r="D364" s="544"/>
      <c r="E364" s="544"/>
      <c r="F364" s="544"/>
      <c r="G364" s="544"/>
      <c r="H364" s="544"/>
      <c r="I364" s="544"/>
    </row>
    <row r="365" spans="1:9" x14ac:dyDescent="0.2">
      <c r="A365" s="544"/>
      <c r="B365" s="544"/>
      <c r="C365" s="544"/>
      <c r="D365" s="544"/>
      <c r="E365" s="544"/>
      <c r="F365" s="544"/>
      <c r="G365" s="544"/>
      <c r="H365" s="544"/>
      <c r="I365" s="544"/>
    </row>
    <row r="366" spans="1:9" x14ac:dyDescent="0.2">
      <c r="A366" s="544"/>
      <c r="B366" s="544"/>
      <c r="C366" s="544"/>
      <c r="D366" s="544"/>
      <c r="E366" s="544"/>
      <c r="F366" s="544"/>
      <c r="G366" s="544"/>
      <c r="H366" s="544"/>
      <c r="I366" s="544"/>
    </row>
    <row r="367" spans="1:9" x14ac:dyDescent="0.2">
      <c r="A367" s="544"/>
      <c r="B367" s="544"/>
      <c r="C367" s="544"/>
      <c r="D367" s="544"/>
      <c r="E367" s="544"/>
      <c r="F367" s="544"/>
      <c r="G367" s="544"/>
      <c r="H367" s="544"/>
      <c r="I367" s="544"/>
    </row>
    <row r="368" spans="1:9" x14ac:dyDescent="0.2">
      <c r="A368" s="544"/>
      <c r="B368" s="544"/>
      <c r="C368" s="544"/>
      <c r="D368" s="544"/>
      <c r="E368" s="544"/>
      <c r="F368" s="544"/>
      <c r="G368" s="544"/>
      <c r="H368" s="544"/>
      <c r="I368" s="544"/>
    </row>
    <row r="369" spans="1:9" x14ac:dyDescent="0.2">
      <c r="A369" s="544"/>
      <c r="B369" s="544"/>
      <c r="C369" s="544"/>
      <c r="D369" s="544"/>
      <c r="E369" s="544"/>
      <c r="F369" s="544"/>
      <c r="G369" s="544"/>
      <c r="H369" s="544"/>
      <c r="I369" s="544"/>
    </row>
    <row r="370" spans="1:9" x14ac:dyDescent="0.2">
      <c r="A370" s="544"/>
      <c r="B370" s="544"/>
      <c r="C370" s="544"/>
      <c r="D370" s="544"/>
      <c r="E370" s="544"/>
      <c r="F370" s="544"/>
      <c r="G370" s="544"/>
      <c r="H370" s="544"/>
      <c r="I370" s="544"/>
    </row>
    <row r="371" spans="1:9" x14ac:dyDescent="0.2">
      <c r="A371" s="544"/>
      <c r="B371" s="544"/>
      <c r="C371" s="544"/>
      <c r="D371" s="544"/>
      <c r="E371" s="544"/>
      <c r="F371" s="544"/>
      <c r="G371" s="544"/>
      <c r="H371" s="544"/>
      <c r="I371" s="544"/>
    </row>
    <row r="372" spans="1:9" x14ac:dyDescent="0.2">
      <c r="A372" s="544"/>
      <c r="B372" s="544"/>
      <c r="C372" s="544"/>
      <c r="D372" s="544"/>
      <c r="E372" s="544"/>
      <c r="F372" s="544"/>
      <c r="G372" s="544"/>
      <c r="H372" s="544"/>
      <c r="I372" s="544"/>
    </row>
    <row r="373" spans="1:9" x14ac:dyDescent="0.2">
      <c r="A373" s="544"/>
      <c r="B373" s="544"/>
      <c r="C373" s="544"/>
      <c r="D373" s="544"/>
      <c r="E373" s="544"/>
      <c r="F373" s="544"/>
      <c r="G373" s="544"/>
      <c r="H373" s="544"/>
      <c r="I373" s="544"/>
    </row>
    <row r="374" spans="1:9" x14ac:dyDescent="0.2">
      <c r="A374" s="544"/>
      <c r="B374" s="544"/>
      <c r="C374" s="544"/>
      <c r="D374" s="544"/>
      <c r="E374" s="544"/>
      <c r="F374" s="544"/>
      <c r="G374" s="544"/>
      <c r="H374" s="544"/>
      <c r="I374" s="544"/>
    </row>
    <row r="375" spans="1:9" x14ac:dyDescent="0.2">
      <c r="A375" s="544"/>
      <c r="B375" s="544"/>
      <c r="C375" s="544"/>
      <c r="D375" s="544"/>
      <c r="E375" s="544"/>
      <c r="F375" s="544"/>
      <c r="G375" s="544"/>
      <c r="H375" s="544"/>
      <c r="I375" s="544"/>
    </row>
    <row r="376" spans="1:9" x14ac:dyDescent="0.2">
      <c r="A376" s="544"/>
      <c r="B376" s="544"/>
      <c r="C376" s="544"/>
      <c r="D376" s="544"/>
      <c r="E376" s="544"/>
      <c r="F376" s="544"/>
      <c r="G376" s="544"/>
      <c r="H376" s="544"/>
      <c r="I376" s="544"/>
    </row>
    <row r="377" spans="1:9" x14ac:dyDescent="0.2">
      <c r="A377" s="544"/>
      <c r="B377" s="544"/>
      <c r="C377" s="544"/>
      <c r="D377" s="544"/>
      <c r="E377" s="544"/>
      <c r="F377" s="544"/>
      <c r="G377" s="544"/>
      <c r="H377" s="544"/>
      <c r="I377" s="544"/>
    </row>
    <row r="378" spans="1:9" x14ac:dyDescent="0.2">
      <c r="A378" s="544"/>
      <c r="B378" s="544"/>
      <c r="C378" s="544"/>
      <c r="D378" s="544"/>
      <c r="E378" s="544"/>
      <c r="F378" s="544"/>
      <c r="G378" s="544"/>
      <c r="H378" s="544"/>
      <c r="I378" s="544"/>
    </row>
    <row r="379" spans="1:9" x14ac:dyDescent="0.2">
      <c r="A379" s="544"/>
      <c r="B379" s="544"/>
      <c r="C379" s="544"/>
      <c r="D379" s="544"/>
      <c r="E379" s="544"/>
      <c r="F379" s="544"/>
      <c r="G379" s="544"/>
      <c r="H379" s="544"/>
      <c r="I379" s="544"/>
    </row>
    <row r="380" spans="1:9" x14ac:dyDescent="0.2">
      <c r="A380" s="544" t="s">
        <v>3733</v>
      </c>
      <c r="B380" s="544"/>
      <c r="C380" s="544"/>
      <c r="D380" s="544"/>
      <c r="E380" s="544"/>
      <c r="F380" s="544"/>
      <c r="G380" s="544"/>
      <c r="H380" s="544"/>
      <c r="I380" s="544"/>
    </row>
    <row r="381" spans="1:9" x14ac:dyDescent="0.2">
      <c r="A381" s="544"/>
      <c r="B381" s="544"/>
      <c r="C381" s="544"/>
      <c r="D381" s="544"/>
      <c r="E381" s="544"/>
      <c r="F381" s="544"/>
      <c r="G381" s="544"/>
      <c r="H381" s="544"/>
      <c r="I381" s="544"/>
    </row>
    <row r="382" spans="1:9" x14ac:dyDescent="0.2">
      <c r="A382" s="544"/>
      <c r="B382" s="544"/>
      <c r="C382" s="544"/>
      <c r="D382" s="544"/>
      <c r="E382" s="544"/>
      <c r="F382" s="544"/>
      <c r="G382" s="544"/>
      <c r="H382" s="544"/>
      <c r="I382" s="544"/>
    </row>
    <row r="383" spans="1:9" x14ac:dyDescent="0.2">
      <c r="A383" s="544"/>
      <c r="B383" s="544"/>
      <c r="C383" s="544"/>
      <c r="D383" s="544"/>
      <c r="E383" s="544"/>
      <c r="F383" s="544"/>
      <c r="G383" s="544"/>
      <c r="H383" s="544"/>
      <c r="I383" s="544"/>
    </row>
    <row r="403" spans="1:1" x14ac:dyDescent="0.2">
      <c r="A403" t="s">
        <v>3735</v>
      </c>
    </row>
  </sheetData>
  <mergeCells count="1">
    <mergeCell ref="D71:F71"/>
  </mergeCells>
  <pageMargins left="0.7" right="0.7" top="0.75" bottom="0.75" header="0.3" footer="0.3"/>
  <pageSetup paperSize="9" scale="76" fitToHeight="7"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05A887-FF84-4D46-995F-4DAE4A41893D}">
  <dimension ref="A1:U136"/>
  <sheetViews>
    <sheetView rightToLeft="1" topLeftCell="A109" zoomScale="150" zoomScaleNormal="280" workbookViewId="0">
      <selection activeCell="H112" sqref="H112"/>
    </sheetView>
  </sheetViews>
  <sheetFormatPr baseColWidth="10" defaultRowHeight="16" x14ac:dyDescent="0.2"/>
  <cols>
    <col min="1" max="15" width="10.83203125" style="1"/>
    <col min="16" max="16" width="10.1640625" style="1" customWidth="1"/>
    <col min="17" max="16384" width="10.83203125" style="1"/>
  </cols>
  <sheetData>
    <row r="1" spans="1:8" x14ac:dyDescent="0.2">
      <c r="A1" s="612" t="s">
        <v>3736</v>
      </c>
      <c r="B1" s="612"/>
      <c r="C1" s="612"/>
      <c r="D1" s="612"/>
      <c r="E1" s="612"/>
      <c r="F1" s="612"/>
      <c r="G1" s="612"/>
      <c r="H1" s="612"/>
    </row>
    <row r="2" spans="1:8" ht="17" thickBot="1" x14ac:dyDescent="0.25"/>
    <row r="3" spans="1:8" x14ac:dyDescent="0.2">
      <c r="A3" s="57" t="s">
        <v>3737</v>
      </c>
      <c r="B3" s="17"/>
      <c r="C3" s="17"/>
      <c r="D3" s="17"/>
      <c r="E3" s="17"/>
      <c r="F3" s="17"/>
      <c r="G3" s="17"/>
      <c r="H3" s="18"/>
    </row>
    <row r="4" spans="1:8" x14ac:dyDescent="0.2">
      <c r="A4" s="19" t="s">
        <v>3738</v>
      </c>
      <c r="H4" s="20"/>
    </row>
    <row r="5" spans="1:8" x14ac:dyDescent="0.2">
      <c r="A5" s="19" t="s">
        <v>3739</v>
      </c>
      <c r="H5" s="20"/>
    </row>
    <row r="6" spans="1:8" x14ac:dyDescent="0.2">
      <c r="A6" s="19" t="s">
        <v>3740</v>
      </c>
      <c r="H6" s="20"/>
    </row>
    <row r="7" spans="1:8" x14ac:dyDescent="0.2">
      <c r="A7" s="19" t="s">
        <v>3741</v>
      </c>
      <c r="H7" s="20"/>
    </row>
    <row r="8" spans="1:8" x14ac:dyDescent="0.2">
      <c r="A8" s="19" t="s">
        <v>3742</v>
      </c>
      <c r="H8" s="20"/>
    </row>
    <row r="9" spans="1:8" x14ac:dyDescent="0.2">
      <c r="A9" s="19" t="s">
        <v>3743</v>
      </c>
      <c r="H9" s="20"/>
    </row>
    <row r="10" spans="1:8" x14ac:dyDescent="0.2">
      <c r="A10" s="19"/>
      <c r="H10" s="20"/>
    </row>
    <row r="11" spans="1:8" x14ac:dyDescent="0.2">
      <c r="A11" s="19" t="s">
        <v>3745</v>
      </c>
      <c r="H11" s="20"/>
    </row>
    <row r="12" spans="1:8" x14ac:dyDescent="0.2">
      <c r="A12" s="19" t="s">
        <v>3744</v>
      </c>
      <c r="H12" s="20"/>
    </row>
    <row r="13" spans="1:8" x14ac:dyDescent="0.2">
      <c r="A13" s="19" t="s">
        <v>3746</v>
      </c>
      <c r="H13" s="20"/>
    </row>
    <row r="14" spans="1:8" x14ac:dyDescent="0.2">
      <c r="A14" s="19" t="s">
        <v>3747</v>
      </c>
      <c r="H14" s="20"/>
    </row>
    <row r="15" spans="1:8" x14ac:dyDescent="0.2">
      <c r="A15" s="19"/>
      <c r="H15" s="20"/>
    </row>
    <row r="16" spans="1:8" x14ac:dyDescent="0.2">
      <c r="A16" s="19" t="s">
        <v>3748</v>
      </c>
      <c r="H16" s="20"/>
    </row>
    <row r="17" spans="1:20" x14ac:dyDescent="0.2">
      <c r="A17" s="19"/>
      <c r="H17" s="20"/>
    </row>
    <row r="18" spans="1:20" ht="17" thickBot="1" x14ac:dyDescent="0.25">
      <c r="A18" s="21" t="s">
        <v>3749</v>
      </c>
      <c r="B18" s="22"/>
      <c r="C18" s="22"/>
      <c r="D18" s="22"/>
      <c r="E18" s="22"/>
      <c r="F18" s="22"/>
      <c r="G18" s="22"/>
      <c r="H18" s="23"/>
    </row>
    <row r="19" spans="1:20" ht="17" thickBot="1" x14ac:dyDescent="0.25"/>
    <row r="20" spans="1:20" x14ac:dyDescent="0.2">
      <c r="A20" s="57" t="s">
        <v>3750</v>
      </c>
      <c r="B20" s="17"/>
      <c r="C20" s="17"/>
      <c r="D20" s="17"/>
      <c r="E20" s="17"/>
      <c r="F20" s="17"/>
      <c r="G20" s="17"/>
      <c r="H20" s="18"/>
    </row>
    <row r="21" spans="1:20" x14ac:dyDescent="0.2">
      <c r="A21" s="19" t="s">
        <v>3751</v>
      </c>
      <c r="H21" s="20"/>
    </row>
    <row r="22" spans="1:20" x14ac:dyDescent="0.2">
      <c r="A22" s="19" t="s">
        <v>3752</v>
      </c>
      <c r="H22" s="20"/>
    </row>
    <row r="23" spans="1:20" ht="17" thickBot="1" x14ac:dyDescent="0.25">
      <c r="A23" s="21" t="s">
        <v>3753</v>
      </c>
      <c r="B23" s="22"/>
      <c r="C23" s="22"/>
      <c r="D23" s="22"/>
      <c r="E23" s="22"/>
      <c r="F23" s="22"/>
      <c r="G23" s="22"/>
      <c r="H23" s="23"/>
    </row>
    <row r="24" spans="1:20" ht="17" thickBot="1" x14ac:dyDescent="0.25">
      <c r="J24" s="613" t="s">
        <v>3788</v>
      </c>
      <c r="K24" s="613"/>
      <c r="L24" s="613"/>
      <c r="M24" s="613"/>
      <c r="N24" s="613"/>
      <c r="O24" s="613"/>
      <c r="P24" s="613"/>
      <c r="T24" s="50" t="s">
        <v>3789</v>
      </c>
    </row>
    <row r="25" spans="1:20" ht="17" thickBot="1" x14ac:dyDescent="0.25">
      <c r="E25" s="148" t="s">
        <v>3754</v>
      </c>
      <c r="F25" s="149"/>
      <c r="G25" s="149"/>
      <c r="H25" s="185"/>
      <c r="J25" s="37" t="s">
        <v>35</v>
      </c>
      <c r="K25" s="37" t="s">
        <v>3769</v>
      </c>
      <c r="L25" s="1" t="s">
        <v>3770</v>
      </c>
      <c r="M25" s="1" t="s">
        <v>3784</v>
      </c>
      <c r="N25" s="1" t="s">
        <v>3782</v>
      </c>
      <c r="O25" s="1" t="s">
        <v>3785</v>
      </c>
      <c r="P25" s="1" t="s">
        <v>3336</v>
      </c>
      <c r="S25" s="37" t="s">
        <v>35</v>
      </c>
      <c r="T25" s="1" t="s">
        <v>3790</v>
      </c>
    </row>
    <row r="26" spans="1:20" x14ac:dyDescent="0.2">
      <c r="E26" s="1" t="s">
        <v>3755</v>
      </c>
      <c r="J26" s="37">
        <v>0</v>
      </c>
      <c r="K26" s="37">
        <v>-500</v>
      </c>
      <c r="P26" s="1">
        <f>SUM(K26:O26)</f>
        <v>-500</v>
      </c>
      <c r="S26" s="37">
        <v>0</v>
      </c>
    </row>
    <row r="27" spans="1:20" x14ac:dyDescent="0.2">
      <c r="E27" s="1" t="s">
        <v>3756</v>
      </c>
      <c r="J27" s="37">
        <f>J26+1</f>
        <v>1</v>
      </c>
      <c r="K27" s="37"/>
      <c r="L27" s="1">
        <f>500/10*30%</f>
        <v>15</v>
      </c>
      <c r="O27" s="1">
        <f>-30*(1-30%)</f>
        <v>-21</v>
      </c>
      <c r="P27" s="1">
        <f t="shared" ref="P27:P36" si="0">SUM(K27:O27)</f>
        <v>-6</v>
      </c>
      <c r="S27" s="37">
        <f>S26+1</f>
        <v>1</v>
      </c>
      <c r="T27" s="1">
        <f>-30*(1-30%)</f>
        <v>-21</v>
      </c>
    </row>
    <row r="28" spans="1:20" x14ac:dyDescent="0.2">
      <c r="E28" s="1" t="s">
        <v>3757</v>
      </c>
      <c r="J28" s="37">
        <f t="shared" ref="J28:J35" si="1">J27+1</f>
        <v>2</v>
      </c>
      <c r="K28" s="37"/>
      <c r="L28" s="1">
        <f>L27</f>
        <v>15</v>
      </c>
      <c r="O28" s="1">
        <f>O27</f>
        <v>-21</v>
      </c>
      <c r="P28" s="1">
        <f t="shared" si="0"/>
        <v>-6</v>
      </c>
      <c r="S28" s="37">
        <f t="shared" ref="S28:S35" si="2">S27+1</f>
        <v>2</v>
      </c>
      <c r="T28" s="1">
        <f t="shared" ref="T28:T36" si="3">-30*(1-30%)</f>
        <v>-21</v>
      </c>
    </row>
    <row r="29" spans="1:20" x14ac:dyDescent="0.2">
      <c r="E29" s="1" t="s">
        <v>3758</v>
      </c>
      <c r="J29" s="37">
        <f t="shared" si="1"/>
        <v>3</v>
      </c>
      <c r="K29" s="37"/>
      <c r="L29" s="1">
        <f t="shared" ref="L29:L36" si="4">L28</f>
        <v>15</v>
      </c>
      <c r="O29" s="1">
        <f>O28</f>
        <v>-21</v>
      </c>
      <c r="P29" s="1">
        <f t="shared" si="0"/>
        <v>-6</v>
      </c>
      <c r="S29" s="37">
        <f t="shared" si="2"/>
        <v>3</v>
      </c>
      <c r="T29" s="1">
        <f t="shared" si="3"/>
        <v>-21</v>
      </c>
    </row>
    <row r="30" spans="1:20" x14ac:dyDescent="0.2">
      <c r="E30" s="1" t="s">
        <v>3759</v>
      </c>
      <c r="J30" s="37">
        <f t="shared" si="1"/>
        <v>4</v>
      </c>
      <c r="K30" s="37"/>
      <c r="L30" s="1">
        <f t="shared" si="4"/>
        <v>15</v>
      </c>
      <c r="O30" s="1">
        <f>O29</f>
        <v>-21</v>
      </c>
      <c r="P30" s="1">
        <f t="shared" si="0"/>
        <v>-6</v>
      </c>
      <c r="S30" s="37">
        <f t="shared" si="2"/>
        <v>4</v>
      </c>
      <c r="T30" s="1">
        <f t="shared" si="3"/>
        <v>-21</v>
      </c>
    </row>
    <row r="31" spans="1:20" x14ac:dyDescent="0.2">
      <c r="E31" s="1" t="s">
        <v>3760</v>
      </c>
      <c r="J31" s="37">
        <f t="shared" si="1"/>
        <v>5</v>
      </c>
      <c r="K31" s="37"/>
      <c r="L31" s="1">
        <f t="shared" si="4"/>
        <v>15</v>
      </c>
      <c r="O31" s="1">
        <f>O30</f>
        <v>-21</v>
      </c>
      <c r="P31" s="1">
        <f t="shared" si="0"/>
        <v>-6</v>
      </c>
      <c r="S31" s="37">
        <f t="shared" si="2"/>
        <v>5</v>
      </c>
      <c r="T31" s="1">
        <f t="shared" si="3"/>
        <v>-21</v>
      </c>
    </row>
    <row r="32" spans="1:20" x14ac:dyDescent="0.2">
      <c r="E32" s="1" t="s">
        <v>3761</v>
      </c>
      <c r="J32" s="37">
        <f t="shared" si="1"/>
        <v>6</v>
      </c>
      <c r="K32" s="37"/>
      <c r="L32" s="1">
        <f t="shared" si="4"/>
        <v>15</v>
      </c>
      <c r="O32" s="1">
        <f>O31</f>
        <v>-21</v>
      </c>
      <c r="P32" s="1">
        <f t="shared" si="0"/>
        <v>-6</v>
      </c>
      <c r="S32" s="37">
        <f t="shared" si="2"/>
        <v>6</v>
      </c>
      <c r="T32" s="1">
        <f t="shared" si="3"/>
        <v>-21</v>
      </c>
    </row>
    <row r="33" spans="5:21" x14ac:dyDescent="0.2">
      <c r="E33" s="1" t="s">
        <v>3762</v>
      </c>
      <c r="J33" s="37">
        <f t="shared" si="1"/>
        <v>7</v>
      </c>
      <c r="K33" s="37"/>
      <c r="L33" s="1">
        <f t="shared" si="4"/>
        <v>15</v>
      </c>
      <c r="O33" s="1">
        <f>-40*(1-30%)</f>
        <v>-28</v>
      </c>
      <c r="P33" s="1">
        <f t="shared" si="0"/>
        <v>-13</v>
      </c>
      <c r="S33" s="37">
        <f t="shared" si="2"/>
        <v>7</v>
      </c>
      <c r="T33" s="1">
        <f t="shared" si="3"/>
        <v>-21</v>
      </c>
    </row>
    <row r="34" spans="5:21" x14ac:dyDescent="0.2">
      <c r="E34" s="1" t="s">
        <v>3763</v>
      </c>
      <c r="J34" s="37">
        <f t="shared" si="1"/>
        <v>8</v>
      </c>
      <c r="K34" s="37"/>
      <c r="L34" s="1">
        <f t="shared" si="4"/>
        <v>15</v>
      </c>
      <c r="O34" s="1">
        <f>-40*(1-30%)</f>
        <v>-28</v>
      </c>
      <c r="P34" s="1">
        <f t="shared" si="0"/>
        <v>-13</v>
      </c>
      <c r="S34" s="37">
        <f t="shared" si="2"/>
        <v>8</v>
      </c>
      <c r="T34" s="1">
        <f t="shared" si="3"/>
        <v>-21</v>
      </c>
    </row>
    <row r="35" spans="5:21" x14ac:dyDescent="0.2">
      <c r="E35" s="1" t="s">
        <v>3764</v>
      </c>
      <c r="J35" s="37">
        <f t="shared" si="1"/>
        <v>9</v>
      </c>
      <c r="K35" s="37"/>
      <c r="L35" s="1">
        <f t="shared" si="4"/>
        <v>15</v>
      </c>
      <c r="O35" s="1">
        <f>-40*(1-30%)</f>
        <v>-28</v>
      </c>
      <c r="P35" s="1">
        <f t="shared" si="0"/>
        <v>-13</v>
      </c>
      <c r="S35" s="37">
        <f t="shared" si="2"/>
        <v>9</v>
      </c>
      <c r="T35" s="1">
        <f t="shared" si="3"/>
        <v>-21</v>
      </c>
    </row>
    <row r="36" spans="5:21" x14ac:dyDescent="0.2">
      <c r="E36" s="1" t="s">
        <v>3765</v>
      </c>
      <c r="J36" s="37">
        <f>J35+1</f>
        <v>10</v>
      </c>
      <c r="K36" s="37"/>
      <c r="L36" s="1">
        <f t="shared" si="4"/>
        <v>15</v>
      </c>
      <c r="M36" s="551">
        <f>K46</f>
        <v>299.36846961918945</v>
      </c>
      <c r="N36" s="551">
        <f>K55</f>
        <v>-59.873693923837891</v>
      </c>
      <c r="O36" s="1">
        <f>-40*(1-30%)</f>
        <v>-28</v>
      </c>
      <c r="P36" s="172">
        <f t="shared" si="0"/>
        <v>226.49477569535156</v>
      </c>
      <c r="S36" s="37">
        <f>S35+1</f>
        <v>10</v>
      </c>
      <c r="T36" s="1">
        <f t="shared" si="3"/>
        <v>-21</v>
      </c>
    </row>
    <row r="37" spans="5:21" ht="17" thickBot="1" x14ac:dyDescent="0.25">
      <c r="E37" s="1" t="s">
        <v>3786</v>
      </c>
    </row>
    <row r="38" spans="5:21" x14ac:dyDescent="0.2">
      <c r="E38" s="1" t="s">
        <v>3766</v>
      </c>
      <c r="J38" s="16" t="s">
        <v>3772</v>
      </c>
      <c r="K38" s="17"/>
      <c r="L38" s="17"/>
      <c r="M38" s="18"/>
      <c r="P38" s="11">
        <v>0.1</v>
      </c>
      <c r="Q38" s="1" t="s">
        <v>117</v>
      </c>
      <c r="T38" s="11">
        <v>0.1</v>
      </c>
      <c r="U38" s="1" t="s">
        <v>117</v>
      </c>
    </row>
    <row r="39" spans="5:21" x14ac:dyDescent="0.2">
      <c r="E39" s="1" t="s">
        <v>3767</v>
      </c>
      <c r="J39" s="19"/>
      <c r="M39" s="20"/>
    </row>
    <row r="40" spans="5:21" x14ac:dyDescent="0.2">
      <c r="E40" s="1" t="s">
        <v>3768</v>
      </c>
      <c r="J40" s="19" t="s">
        <v>3773</v>
      </c>
      <c r="M40" s="20"/>
      <c r="P40" s="421">
        <f>NPV(P38,P27:P36)+P26</f>
        <v>-457.05694385515164</v>
      </c>
      <c r="Q40" s="1" t="s">
        <v>3787</v>
      </c>
      <c r="T40" s="514">
        <f>NPV(T38,T27:T36)+T26</f>
        <v>-129.03590921979827</v>
      </c>
      <c r="U40" s="1" t="s">
        <v>3787</v>
      </c>
    </row>
    <row r="41" spans="5:21" x14ac:dyDescent="0.2">
      <c r="J41" s="19" t="s">
        <v>3774</v>
      </c>
      <c r="K41" s="553">
        <v>500</v>
      </c>
      <c r="M41" s="20"/>
    </row>
    <row r="42" spans="5:21" x14ac:dyDescent="0.2">
      <c r="J42" s="19" t="s">
        <v>3775</v>
      </c>
      <c r="K42" s="553">
        <f>-500</f>
        <v>-500</v>
      </c>
      <c r="L42" s="1" t="s">
        <v>3776</v>
      </c>
      <c r="M42" s="20"/>
    </row>
    <row r="43" spans="5:21" x14ac:dyDescent="0.2">
      <c r="J43" s="19" t="s">
        <v>3777</v>
      </c>
      <c r="K43" s="550">
        <f>K41+K42</f>
        <v>0</v>
      </c>
      <c r="M43" s="20"/>
    </row>
    <row r="44" spans="5:21" x14ac:dyDescent="0.2">
      <c r="J44" s="19"/>
      <c r="M44" s="20"/>
    </row>
    <row r="45" spans="5:21" x14ac:dyDescent="0.2">
      <c r="J45" s="19" t="s">
        <v>3778</v>
      </c>
      <c r="M45" s="20"/>
    </row>
    <row r="46" spans="5:21" x14ac:dyDescent="0.2">
      <c r="J46" s="19"/>
      <c r="K46" s="551">
        <f>500*0.95^10</f>
        <v>299.36846961918945</v>
      </c>
      <c r="M46" s="20" t="s">
        <v>3779</v>
      </c>
    </row>
    <row r="47" spans="5:21" x14ac:dyDescent="0.2">
      <c r="J47" s="19"/>
      <c r="M47" s="20"/>
    </row>
    <row r="48" spans="5:21" x14ac:dyDescent="0.2">
      <c r="J48" s="19" t="s">
        <v>3780</v>
      </c>
      <c r="M48" s="20"/>
    </row>
    <row r="49" spans="1:13" x14ac:dyDescent="0.2">
      <c r="J49" s="19" t="s">
        <v>3341</v>
      </c>
      <c r="K49" s="551">
        <f>K46</f>
        <v>299.36846961918945</v>
      </c>
      <c r="M49" s="20"/>
    </row>
    <row r="50" spans="1:13" x14ac:dyDescent="0.2">
      <c r="J50" s="19" t="s">
        <v>3777</v>
      </c>
      <c r="K50" s="553">
        <f>K43</f>
        <v>0</v>
      </c>
      <c r="M50" s="20"/>
    </row>
    <row r="51" spans="1:13" x14ac:dyDescent="0.2">
      <c r="J51" s="19" t="s">
        <v>3781</v>
      </c>
      <c r="K51" s="552">
        <f>K49-K50</f>
        <v>299.36846961918945</v>
      </c>
      <c r="M51" s="20"/>
    </row>
    <row r="52" spans="1:13" x14ac:dyDescent="0.2">
      <c r="J52" s="19"/>
      <c r="M52" s="20"/>
    </row>
    <row r="53" spans="1:13" x14ac:dyDescent="0.2">
      <c r="J53" s="19" t="s">
        <v>3782</v>
      </c>
      <c r="K53" s="11">
        <v>0.2</v>
      </c>
      <c r="M53" s="20"/>
    </row>
    <row r="54" spans="1:13" x14ac:dyDescent="0.2">
      <c r="J54" s="19"/>
      <c r="M54" s="20"/>
    </row>
    <row r="55" spans="1:13" ht="17" thickBot="1" x14ac:dyDescent="0.25">
      <c r="J55" s="21" t="s">
        <v>3783</v>
      </c>
      <c r="K55" s="554">
        <f>K51*-K53</f>
        <v>-59.873693923837891</v>
      </c>
      <c r="L55" s="22"/>
      <c r="M55" s="23"/>
    </row>
    <row r="57" spans="1:13" x14ac:dyDescent="0.2">
      <c r="A57" s="1" t="s">
        <v>3791</v>
      </c>
    </row>
    <row r="59" spans="1:13" x14ac:dyDescent="0.2">
      <c r="A59" s="556" t="s">
        <v>3792</v>
      </c>
      <c r="B59" s="556"/>
      <c r="C59" s="556"/>
      <c r="D59" s="556"/>
      <c r="E59" s="556"/>
      <c r="G59" s="555" t="s">
        <v>3793</v>
      </c>
      <c r="H59" s="555"/>
      <c r="I59" s="555"/>
    </row>
    <row r="60" spans="1:13" x14ac:dyDescent="0.2">
      <c r="A60" s="53" t="s">
        <v>3800</v>
      </c>
      <c r="G60" s="1" t="s">
        <v>3794</v>
      </c>
    </row>
    <row r="61" spans="1:13" x14ac:dyDescent="0.2">
      <c r="A61" s="53" t="s">
        <v>3801</v>
      </c>
      <c r="I61" s="1" t="s">
        <v>3795</v>
      </c>
    </row>
    <row r="62" spans="1:13" x14ac:dyDescent="0.2">
      <c r="A62" s="1" t="s">
        <v>3802</v>
      </c>
      <c r="G62" s="1" t="s">
        <v>79</v>
      </c>
    </row>
    <row r="63" spans="1:13" x14ac:dyDescent="0.2">
      <c r="E63" s="1" t="s">
        <v>3803</v>
      </c>
      <c r="G63" s="1" t="s">
        <v>1085</v>
      </c>
      <c r="H63" s="1" t="s">
        <v>3796</v>
      </c>
    </row>
    <row r="64" spans="1:13" x14ac:dyDescent="0.2">
      <c r="A64" s="1" t="s">
        <v>79</v>
      </c>
      <c r="G64" s="1" t="s">
        <v>1435</v>
      </c>
      <c r="H64" s="1" t="s">
        <v>1529</v>
      </c>
    </row>
    <row r="65" spans="1:19" x14ac:dyDescent="0.2">
      <c r="A65" s="1" t="s">
        <v>3804</v>
      </c>
      <c r="B65" s="1" t="s">
        <v>3805</v>
      </c>
    </row>
    <row r="66" spans="1:19" x14ac:dyDescent="0.2">
      <c r="A66" s="1" t="s">
        <v>3806</v>
      </c>
      <c r="B66" s="1" t="s">
        <v>3807</v>
      </c>
      <c r="G66" s="1" t="s">
        <v>3797</v>
      </c>
    </row>
    <row r="67" spans="1:19" x14ac:dyDescent="0.2">
      <c r="A67" s="1" t="s">
        <v>1435</v>
      </c>
      <c r="B67" s="1" t="s">
        <v>1614</v>
      </c>
      <c r="G67" s="1" t="s">
        <v>3798</v>
      </c>
    </row>
    <row r="68" spans="1:19" x14ac:dyDescent="0.2">
      <c r="G68" s="1" t="s">
        <v>3799</v>
      </c>
    </row>
    <row r="69" spans="1:19" x14ac:dyDescent="0.2">
      <c r="A69" s="1" t="s">
        <v>3808</v>
      </c>
    </row>
    <row r="70" spans="1:19" x14ac:dyDescent="0.2">
      <c r="B70" s="546" t="s">
        <v>3809</v>
      </c>
    </row>
    <row r="71" spans="1:19" x14ac:dyDescent="0.2">
      <c r="B71" s="546" t="s">
        <v>3810</v>
      </c>
    </row>
    <row r="72" spans="1:19" x14ac:dyDescent="0.2">
      <c r="B72" s="546" t="s">
        <v>3811</v>
      </c>
    </row>
    <row r="74" spans="1:19" x14ac:dyDescent="0.2">
      <c r="A74" s="1" t="s">
        <v>3812</v>
      </c>
    </row>
    <row r="75" spans="1:19" x14ac:dyDescent="0.2">
      <c r="E75" s="1" t="s">
        <v>3795</v>
      </c>
    </row>
    <row r="77" spans="1:19" x14ac:dyDescent="0.2">
      <c r="A77" s="1" t="s">
        <v>3813</v>
      </c>
    </row>
    <row r="78" spans="1:19" x14ac:dyDescent="0.2">
      <c r="A78" s="1" t="s">
        <v>3814</v>
      </c>
    </row>
    <row r="79" spans="1:19" x14ac:dyDescent="0.2">
      <c r="A79" s="1" t="s">
        <v>3815</v>
      </c>
    </row>
    <row r="80" spans="1:19" ht="17" thickBot="1" x14ac:dyDescent="0.25">
      <c r="J80" s="614" t="s">
        <v>3792</v>
      </c>
      <c r="K80" s="614"/>
      <c r="L80" s="614"/>
      <c r="M80" s="614"/>
      <c r="N80" s="614"/>
      <c r="O80" s="614"/>
      <c r="S80" s="2" t="s">
        <v>3840</v>
      </c>
    </row>
    <row r="81" spans="1:19" ht="17" thickBot="1" x14ac:dyDescent="0.25">
      <c r="A81" s="148" t="s">
        <v>3829</v>
      </c>
      <c r="B81" s="149"/>
      <c r="C81" s="149"/>
      <c r="D81" s="149"/>
      <c r="E81" s="149"/>
      <c r="F81" s="149"/>
      <c r="G81" s="149"/>
      <c r="H81" s="185"/>
      <c r="J81" s="1" t="s">
        <v>3833</v>
      </c>
      <c r="K81" s="1" t="s">
        <v>3774</v>
      </c>
      <c r="L81" s="1" t="s">
        <v>3832</v>
      </c>
      <c r="M81" s="1" t="s">
        <v>3771</v>
      </c>
      <c r="N81" s="1" t="s">
        <v>3837</v>
      </c>
      <c r="O81" s="1" t="s">
        <v>3336</v>
      </c>
      <c r="S81" s="1" t="s">
        <v>3789</v>
      </c>
    </row>
    <row r="82" spans="1:19" x14ac:dyDescent="0.2">
      <c r="A82" s="1" t="s">
        <v>3830</v>
      </c>
      <c r="J82" s="1">
        <v>0</v>
      </c>
      <c r="K82" s="1">
        <v>-40000</v>
      </c>
      <c r="O82" s="1">
        <f>SUM(K82:N82)</f>
        <v>-40000</v>
      </c>
    </row>
    <row r="83" spans="1:19" x14ac:dyDescent="0.2">
      <c r="A83" s="1" t="s">
        <v>3816</v>
      </c>
      <c r="J83" s="1">
        <f>J82+1</f>
        <v>1</v>
      </c>
      <c r="N83" s="1">
        <f>-1000*(1-25%)</f>
        <v>-750</v>
      </c>
      <c r="O83" s="1">
        <f t="shared" ref="O83:O118" si="5">SUM(K83:N83)</f>
        <v>-750</v>
      </c>
      <c r="S83" s="1">
        <f>-2500*(1-25%)</f>
        <v>-1875</v>
      </c>
    </row>
    <row r="84" spans="1:19" x14ac:dyDescent="0.2">
      <c r="A84" s="1" t="s">
        <v>3817</v>
      </c>
      <c r="J84" s="1">
        <f t="shared" ref="J84:J117" si="6">J83+1</f>
        <v>2</v>
      </c>
      <c r="N84" s="1">
        <f t="shared" ref="N84:N94" si="7">-1000*(1-25%)</f>
        <v>-750</v>
      </c>
      <c r="O84" s="1">
        <f t="shared" si="5"/>
        <v>-750</v>
      </c>
      <c r="S84" s="1">
        <f>S83</f>
        <v>-1875</v>
      </c>
    </row>
    <row r="85" spans="1:19" x14ac:dyDescent="0.2">
      <c r="A85" s="1" t="s">
        <v>3818</v>
      </c>
      <c r="J85" s="1">
        <f t="shared" si="6"/>
        <v>3</v>
      </c>
      <c r="N85" s="1">
        <f t="shared" si="7"/>
        <v>-750</v>
      </c>
      <c r="O85" s="1">
        <f t="shared" si="5"/>
        <v>-750</v>
      </c>
      <c r="S85" s="1">
        <f t="shared" ref="S85:S118" si="8">S84</f>
        <v>-1875</v>
      </c>
    </row>
    <row r="86" spans="1:19" x14ac:dyDescent="0.2">
      <c r="A86" s="1" t="s">
        <v>3819</v>
      </c>
      <c r="J86" s="1">
        <f t="shared" si="6"/>
        <v>4</v>
      </c>
      <c r="N86" s="1">
        <f t="shared" si="7"/>
        <v>-750</v>
      </c>
      <c r="O86" s="1">
        <f t="shared" si="5"/>
        <v>-750</v>
      </c>
      <c r="S86" s="1">
        <f t="shared" si="8"/>
        <v>-1875</v>
      </c>
    </row>
    <row r="87" spans="1:19" x14ac:dyDescent="0.2">
      <c r="A87" s="1" t="s">
        <v>3831</v>
      </c>
      <c r="J87" s="1">
        <f t="shared" si="6"/>
        <v>5</v>
      </c>
      <c r="N87" s="1">
        <f t="shared" si="7"/>
        <v>-750</v>
      </c>
      <c r="O87" s="1">
        <f t="shared" si="5"/>
        <v>-750</v>
      </c>
      <c r="S87" s="1">
        <f t="shared" si="8"/>
        <v>-1875</v>
      </c>
    </row>
    <row r="88" spans="1:19" x14ac:dyDescent="0.2">
      <c r="J88" s="1">
        <f t="shared" si="6"/>
        <v>6</v>
      </c>
      <c r="N88" s="1">
        <f t="shared" si="7"/>
        <v>-750</v>
      </c>
      <c r="O88" s="1">
        <f t="shared" si="5"/>
        <v>-750</v>
      </c>
      <c r="S88" s="1">
        <f t="shared" si="8"/>
        <v>-1875</v>
      </c>
    </row>
    <row r="89" spans="1:19" x14ac:dyDescent="0.2">
      <c r="A89" s="1" t="s">
        <v>3820</v>
      </c>
      <c r="J89" s="1">
        <f t="shared" si="6"/>
        <v>7</v>
      </c>
      <c r="N89" s="1">
        <f t="shared" si="7"/>
        <v>-750</v>
      </c>
      <c r="O89" s="1">
        <f t="shared" si="5"/>
        <v>-750</v>
      </c>
      <c r="S89" s="1">
        <f t="shared" si="8"/>
        <v>-1875</v>
      </c>
    </row>
    <row r="90" spans="1:19" x14ac:dyDescent="0.2">
      <c r="A90" s="1" t="s">
        <v>3821</v>
      </c>
      <c r="J90" s="1">
        <f t="shared" si="6"/>
        <v>8</v>
      </c>
      <c r="N90" s="1">
        <f t="shared" si="7"/>
        <v>-750</v>
      </c>
      <c r="O90" s="1">
        <f t="shared" si="5"/>
        <v>-750</v>
      </c>
      <c r="S90" s="1">
        <f t="shared" si="8"/>
        <v>-1875</v>
      </c>
    </row>
    <row r="91" spans="1:19" x14ac:dyDescent="0.2">
      <c r="J91" s="1">
        <f t="shared" si="6"/>
        <v>9</v>
      </c>
      <c r="N91" s="1">
        <f t="shared" si="7"/>
        <v>-750</v>
      </c>
      <c r="O91" s="1">
        <f t="shared" si="5"/>
        <v>-750</v>
      </c>
      <c r="S91" s="1">
        <f t="shared" si="8"/>
        <v>-1875</v>
      </c>
    </row>
    <row r="92" spans="1:19" x14ac:dyDescent="0.2">
      <c r="A92" s="1" t="s">
        <v>3822</v>
      </c>
      <c r="J92" s="1">
        <f t="shared" si="6"/>
        <v>10</v>
      </c>
      <c r="N92" s="1">
        <f t="shared" si="7"/>
        <v>-750</v>
      </c>
      <c r="O92" s="1">
        <f t="shared" si="5"/>
        <v>-750</v>
      </c>
      <c r="S92" s="1">
        <f t="shared" si="8"/>
        <v>-1875</v>
      </c>
    </row>
    <row r="93" spans="1:19" x14ac:dyDescent="0.2">
      <c r="A93" s="1" t="s">
        <v>3823</v>
      </c>
      <c r="J93" s="1">
        <f t="shared" si="6"/>
        <v>11</v>
      </c>
      <c r="N93" s="1">
        <f t="shared" si="7"/>
        <v>-750</v>
      </c>
      <c r="O93" s="1">
        <f t="shared" si="5"/>
        <v>-750</v>
      </c>
      <c r="S93" s="1">
        <f t="shared" si="8"/>
        <v>-1875</v>
      </c>
    </row>
    <row r="94" spans="1:19" x14ac:dyDescent="0.2">
      <c r="A94" s="1" t="s">
        <v>3824</v>
      </c>
      <c r="I94" s="1" t="s">
        <v>3834</v>
      </c>
      <c r="J94" s="54">
        <f t="shared" si="6"/>
        <v>12</v>
      </c>
      <c r="L94" s="1">
        <f>40000/10*25%</f>
        <v>1000</v>
      </c>
      <c r="N94" s="1">
        <f t="shared" si="7"/>
        <v>-750</v>
      </c>
      <c r="O94" s="1">
        <f t="shared" si="5"/>
        <v>250</v>
      </c>
      <c r="S94" s="1">
        <f t="shared" si="8"/>
        <v>-1875</v>
      </c>
    </row>
    <row r="95" spans="1:19" x14ac:dyDescent="0.2">
      <c r="J95" s="1">
        <f t="shared" si="6"/>
        <v>13</v>
      </c>
      <c r="N95" s="1">
        <f>-2000*(1-25%)</f>
        <v>-1500</v>
      </c>
      <c r="O95" s="1">
        <f t="shared" si="5"/>
        <v>-1500</v>
      </c>
      <c r="S95" s="1">
        <f t="shared" si="8"/>
        <v>-1875</v>
      </c>
    </row>
    <row r="96" spans="1:19" x14ac:dyDescent="0.2">
      <c r="A96" s="1" t="s">
        <v>1509</v>
      </c>
      <c r="J96" s="1">
        <f t="shared" si="6"/>
        <v>14</v>
      </c>
      <c r="N96" s="1">
        <f t="shared" ref="N96:N118" si="9">-2000*(1-25%)</f>
        <v>-1500</v>
      </c>
      <c r="O96" s="1">
        <f t="shared" si="5"/>
        <v>-1500</v>
      </c>
      <c r="S96" s="1">
        <f t="shared" si="8"/>
        <v>-1875</v>
      </c>
    </row>
    <row r="97" spans="1:19" x14ac:dyDescent="0.2">
      <c r="A97" s="1" t="s">
        <v>3825</v>
      </c>
      <c r="C97" s="4" t="s">
        <v>3844</v>
      </c>
      <c r="J97" s="1">
        <f t="shared" si="6"/>
        <v>15</v>
      </c>
      <c r="N97" s="1">
        <f t="shared" si="9"/>
        <v>-1500</v>
      </c>
      <c r="O97" s="1">
        <f t="shared" si="5"/>
        <v>-1500</v>
      </c>
      <c r="S97" s="1">
        <f t="shared" si="8"/>
        <v>-1875</v>
      </c>
    </row>
    <row r="98" spans="1:19" x14ac:dyDescent="0.2">
      <c r="A98" s="1" t="s">
        <v>3826</v>
      </c>
      <c r="J98" s="1">
        <f t="shared" si="6"/>
        <v>16</v>
      </c>
      <c r="N98" s="1">
        <f t="shared" si="9"/>
        <v>-1500</v>
      </c>
      <c r="O98" s="1">
        <f t="shared" si="5"/>
        <v>-1500</v>
      </c>
      <c r="S98" s="1">
        <f t="shared" si="8"/>
        <v>-1875</v>
      </c>
    </row>
    <row r="99" spans="1:19" x14ac:dyDescent="0.2">
      <c r="A99" s="1" t="s">
        <v>3827</v>
      </c>
      <c r="J99" s="1">
        <f t="shared" si="6"/>
        <v>17</v>
      </c>
      <c r="N99" s="1">
        <f t="shared" si="9"/>
        <v>-1500</v>
      </c>
      <c r="O99" s="1">
        <f t="shared" si="5"/>
        <v>-1500</v>
      </c>
      <c r="S99" s="1">
        <f>S98</f>
        <v>-1875</v>
      </c>
    </row>
    <row r="100" spans="1:19" x14ac:dyDescent="0.2">
      <c r="A100" s="1" t="s">
        <v>3828</v>
      </c>
      <c r="J100" s="1">
        <f t="shared" si="6"/>
        <v>18</v>
      </c>
      <c r="N100" s="1">
        <f t="shared" si="9"/>
        <v>-1500</v>
      </c>
      <c r="O100" s="1">
        <f t="shared" si="5"/>
        <v>-1500</v>
      </c>
      <c r="S100" s="1">
        <f t="shared" si="8"/>
        <v>-1875</v>
      </c>
    </row>
    <row r="101" spans="1:19" ht="17" thickBot="1" x14ac:dyDescent="0.25">
      <c r="J101" s="1">
        <f>J100+1</f>
        <v>19</v>
      </c>
      <c r="N101" s="1">
        <f t="shared" si="9"/>
        <v>-1500</v>
      </c>
      <c r="O101" s="1">
        <f t="shared" si="5"/>
        <v>-1500</v>
      </c>
      <c r="S101" s="1">
        <f t="shared" si="8"/>
        <v>-1875</v>
      </c>
    </row>
    <row r="102" spans="1:19" ht="17" thickBot="1" x14ac:dyDescent="0.25">
      <c r="A102" s="148" t="s">
        <v>1365</v>
      </c>
      <c r="B102" s="150"/>
      <c r="C102" s="150"/>
      <c r="D102" s="150"/>
      <c r="E102" s="150"/>
      <c r="F102" s="151"/>
      <c r="J102" s="1">
        <f t="shared" si="6"/>
        <v>20</v>
      </c>
      <c r="N102" s="1">
        <f t="shared" si="9"/>
        <v>-1500</v>
      </c>
      <c r="O102" s="1">
        <f t="shared" si="5"/>
        <v>-1500</v>
      </c>
      <c r="S102" s="1">
        <f t="shared" si="8"/>
        <v>-1875</v>
      </c>
    </row>
    <row r="103" spans="1:19" x14ac:dyDescent="0.2">
      <c r="A103" s="1" t="s">
        <v>3841</v>
      </c>
      <c r="J103" s="1">
        <f t="shared" si="6"/>
        <v>21</v>
      </c>
      <c r="N103" s="1">
        <f t="shared" si="9"/>
        <v>-1500</v>
      </c>
      <c r="O103" s="1">
        <f t="shared" si="5"/>
        <v>-1500</v>
      </c>
      <c r="S103" s="1">
        <f t="shared" si="8"/>
        <v>-1875</v>
      </c>
    </row>
    <row r="104" spans="1:19" x14ac:dyDescent="0.2">
      <c r="A104" s="1" t="s">
        <v>3842</v>
      </c>
      <c r="J104" s="1">
        <f t="shared" si="6"/>
        <v>22</v>
      </c>
      <c r="N104" s="1">
        <f t="shared" si="9"/>
        <v>-1500</v>
      </c>
      <c r="O104" s="1">
        <f t="shared" si="5"/>
        <v>-1500</v>
      </c>
      <c r="S104" s="1">
        <f t="shared" si="8"/>
        <v>-1875</v>
      </c>
    </row>
    <row r="105" spans="1:19" x14ac:dyDescent="0.2">
      <c r="A105" s="1" t="s">
        <v>3843</v>
      </c>
      <c r="J105" s="1">
        <f t="shared" si="6"/>
        <v>23</v>
      </c>
      <c r="N105" s="1">
        <f t="shared" si="9"/>
        <v>-1500</v>
      </c>
      <c r="O105" s="1">
        <f t="shared" si="5"/>
        <v>-1500</v>
      </c>
      <c r="S105" s="1">
        <f t="shared" si="8"/>
        <v>-1875</v>
      </c>
    </row>
    <row r="106" spans="1:19" x14ac:dyDescent="0.2">
      <c r="I106" s="1" t="s">
        <v>3835</v>
      </c>
      <c r="J106" s="54">
        <f t="shared" si="6"/>
        <v>24</v>
      </c>
      <c r="L106" s="1">
        <f>40000/10*25%</f>
        <v>1000</v>
      </c>
      <c r="N106" s="1">
        <f t="shared" si="9"/>
        <v>-1500</v>
      </c>
      <c r="O106" s="1">
        <f t="shared" si="5"/>
        <v>-500</v>
      </c>
      <c r="S106" s="1">
        <f t="shared" si="8"/>
        <v>-1875</v>
      </c>
    </row>
    <row r="107" spans="1:19" x14ac:dyDescent="0.2">
      <c r="C107" s="1" t="s">
        <v>3845</v>
      </c>
      <c r="E107" s="558">
        <f>(1+8%)^(1/12)-1</f>
        <v>6.4340301100034303E-3</v>
      </c>
      <c r="F107" s="1" t="s">
        <v>117</v>
      </c>
      <c r="J107" s="1">
        <f t="shared" si="6"/>
        <v>25</v>
      </c>
      <c r="N107" s="1">
        <f t="shared" si="9"/>
        <v>-1500</v>
      </c>
      <c r="O107" s="1">
        <f t="shared" si="5"/>
        <v>-1500</v>
      </c>
      <c r="S107" s="1">
        <f t="shared" si="8"/>
        <v>-1875</v>
      </c>
    </row>
    <row r="108" spans="1:19" x14ac:dyDescent="0.2">
      <c r="C108" s="1" t="s">
        <v>3846</v>
      </c>
      <c r="E108" s="1">
        <v>36</v>
      </c>
      <c r="F108" s="1" t="s">
        <v>119</v>
      </c>
      <c r="J108" s="1">
        <f t="shared" si="6"/>
        <v>26</v>
      </c>
      <c r="N108" s="1">
        <f t="shared" si="9"/>
        <v>-1500</v>
      </c>
      <c r="O108" s="1">
        <f t="shared" si="5"/>
        <v>-1500</v>
      </c>
      <c r="S108" s="1">
        <f t="shared" si="8"/>
        <v>-1875</v>
      </c>
    </row>
    <row r="109" spans="1:19" x14ac:dyDescent="0.2">
      <c r="C109" s="1" t="s">
        <v>3848</v>
      </c>
      <c r="E109" s="161">
        <f>PMT(E107,E108,E110,E111)</f>
        <v>1767.9256094004265</v>
      </c>
      <c r="F109" s="1" t="s">
        <v>123</v>
      </c>
      <c r="J109" s="1">
        <f t="shared" si="6"/>
        <v>27</v>
      </c>
      <c r="N109" s="1">
        <f t="shared" si="9"/>
        <v>-1500</v>
      </c>
      <c r="O109" s="1">
        <f t="shared" si="5"/>
        <v>-1500</v>
      </c>
      <c r="S109" s="1">
        <f t="shared" si="8"/>
        <v>-1875</v>
      </c>
    </row>
    <row r="110" spans="1:19" x14ac:dyDescent="0.2">
      <c r="C110" s="1" t="s">
        <v>3847</v>
      </c>
      <c r="E110" s="122">
        <f>O122</f>
        <v>-56650.226172619077</v>
      </c>
      <c r="F110" s="1" t="s">
        <v>121</v>
      </c>
      <c r="J110" s="1">
        <f t="shared" si="6"/>
        <v>28</v>
      </c>
      <c r="N110" s="1">
        <f t="shared" si="9"/>
        <v>-1500</v>
      </c>
      <c r="O110" s="1">
        <f t="shared" si="5"/>
        <v>-1500</v>
      </c>
      <c r="S110" s="1">
        <f t="shared" si="8"/>
        <v>-1875</v>
      </c>
    </row>
    <row r="111" spans="1:19" x14ac:dyDescent="0.2">
      <c r="E111" s="1">
        <v>0</v>
      </c>
      <c r="F111" s="1" t="s">
        <v>125</v>
      </c>
      <c r="J111" s="1">
        <f t="shared" si="6"/>
        <v>29</v>
      </c>
      <c r="N111" s="1">
        <f t="shared" si="9"/>
        <v>-1500</v>
      </c>
      <c r="O111" s="1">
        <f t="shared" si="5"/>
        <v>-1500</v>
      </c>
      <c r="S111" s="1">
        <f t="shared" si="8"/>
        <v>-1875</v>
      </c>
    </row>
    <row r="112" spans="1:19" x14ac:dyDescent="0.2">
      <c r="J112" s="1">
        <f>J111+1</f>
        <v>30</v>
      </c>
      <c r="N112" s="1">
        <f t="shared" si="9"/>
        <v>-1500</v>
      </c>
      <c r="O112" s="1">
        <f t="shared" si="5"/>
        <v>-1500</v>
      </c>
      <c r="S112" s="1">
        <f>S111</f>
        <v>-1875</v>
      </c>
    </row>
    <row r="113" spans="1:20" x14ac:dyDescent="0.2">
      <c r="A113" s="1" t="s">
        <v>3849</v>
      </c>
      <c r="J113" s="1">
        <f t="shared" si="6"/>
        <v>31</v>
      </c>
      <c r="N113" s="1">
        <f t="shared" si="9"/>
        <v>-1500</v>
      </c>
      <c r="O113" s="1">
        <f t="shared" si="5"/>
        <v>-1500</v>
      </c>
      <c r="S113" s="1">
        <f t="shared" si="8"/>
        <v>-1875</v>
      </c>
    </row>
    <row r="114" spans="1:20" x14ac:dyDescent="0.2">
      <c r="A114" s="1" t="s">
        <v>3850</v>
      </c>
      <c r="J114" s="1">
        <f t="shared" si="6"/>
        <v>32</v>
      </c>
      <c r="N114" s="1">
        <f t="shared" si="9"/>
        <v>-1500</v>
      </c>
      <c r="O114" s="1">
        <f t="shared" si="5"/>
        <v>-1500</v>
      </c>
      <c r="S114" s="1">
        <f t="shared" si="8"/>
        <v>-1875</v>
      </c>
    </row>
    <row r="115" spans="1:20" x14ac:dyDescent="0.2">
      <c r="J115" s="1">
        <f t="shared" si="6"/>
        <v>33</v>
      </c>
      <c r="N115" s="1">
        <f t="shared" si="9"/>
        <v>-1500</v>
      </c>
      <c r="O115" s="1">
        <f t="shared" si="5"/>
        <v>-1500</v>
      </c>
      <c r="S115" s="1">
        <f t="shared" si="8"/>
        <v>-1875</v>
      </c>
    </row>
    <row r="116" spans="1:20" x14ac:dyDescent="0.2">
      <c r="E116" s="1" t="s">
        <v>3851</v>
      </c>
      <c r="J116" s="1">
        <f t="shared" si="6"/>
        <v>34</v>
      </c>
      <c r="N116" s="1">
        <f t="shared" si="9"/>
        <v>-1500</v>
      </c>
      <c r="O116" s="1">
        <f t="shared" si="5"/>
        <v>-1500</v>
      </c>
      <c r="S116" s="1">
        <f>S115</f>
        <v>-1875</v>
      </c>
    </row>
    <row r="117" spans="1:20" x14ac:dyDescent="0.2">
      <c r="A117" s="4" t="s">
        <v>3859</v>
      </c>
      <c r="B117" s="4"/>
      <c r="C117" s="4"/>
      <c r="D117" s="549">
        <f>1767.93/0.75</f>
        <v>2357.2400000000002</v>
      </c>
      <c r="E117" s="549" t="s">
        <v>3852</v>
      </c>
      <c r="J117" s="1">
        <f t="shared" si="6"/>
        <v>35</v>
      </c>
      <c r="N117" s="1">
        <f>-2000*(1-25%)</f>
        <v>-1500</v>
      </c>
      <c r="O117" s="1">
        <f t="shared" si="5"/>
        <v>-1500</v>
      </c>
      <c r="S117" s="1">
        <f>S116</f>
        <v>-1875</v>
      </c>
    </row>
    <row r="118" spans="1:20" x14ac:dyDescent="0.2">
      <c r="A118" s="1" t="s">
        <v>3860</v>
      </c>
      <c r="I118" s="1" t="s">
        <v>3836</v>
      </c>
      <c r="J118" s="54">
        <f>J117+1</f>
        <v>36</v>
      </c>
      <c r="L118" s="1">
        <f>40000/10*25%</f>
        <v>1000</v>
      </c>
      <c r="M118" s="1">
        <f>40000-5000*3-15%*(25000 - 40000*7/10)</f>
        <v>25450</v>
      </c>
      <c r="N118" s="1">
        <f t="shared" si="9"/>
        <v>-1500</v>
      </c>
      <c r="O118" s="1">
        <f t="shared" si="5"/>
        <v>24950</v>
      </c>
      <c r="S118" s="1">
        <f t="shared" si="8"/>
        <v>-1875</v>
      </c>
    </row>
    <row r="119" spans="1:20" x14ac:dyDescent="0.2">
      <c r="A119" s="1" t="s">
        <v>3861</v>
      </c>
    </row>
    <row r="120" spans="1:20" x14ac:dyDescent="0.2">
      <c r="O120" s="246">
        <f>(1+8%)^(1/12)-1</f>
        <v>6.4340301100034303E-3</v>
      </c>
      <c r="P120" s="1" t="s">
        <v>117</v>
      </c>
      <c r="S120" s="246">
        <f>(1+8%)^(1/12)-1</f>
        <v>6.4340301100034303E-3</v>
      </c>
      <c r="T120" s="1" t="s">
        <v>117</v>
      </c>
    </row>
    <row r="121" spans="1:20" x14ac:dyDescent="0.2">
      <c r="A121" s="1" t="s">
        <v>3853</v>
      </c>
    </row>
    <row r="122" spans="1:20" x14ac:dyDescent="0.2">
      <c r="A122" s="1" t="s">
        <v>3854</v>
      </c>
      <c r="O122" s="557">
        <f>NPV(O120,O83:O118)+O82</f>
        <v>-56650.226172619077</v>
      </c>
      <c r="P122" s="1" t="s">
        <v>1809</v>
      </c>
      <c r="S122" s="161">
        <f>NPV(S120,S83:S118)</f>
        <v>-60081.246353846262</v>
      </c>
      <c r="T122" s="1" t="s">
        <v>3838</v>
      </c>
    </row>
    <row r="123" spans="1:20" x14ac:dyDescent="0.2">
      <c r="A123" s="1" t="s">
        <v>3855</v>
      </c>
      <c r="O123" s="1" t="s">
        <v>3839</v>
      </c>
      <c r="S123" s="1" t="s">
        <v>3789</v>
      </c>
    </row>
    <row r="124" spans="1:20" x14ac:dyDescent="0.2">
      <c r="A124" s="1" t="s">
        <v>3856</v>
      </c>
    </row>
    <row r="125" spans="1:20" x14ac:dyDescent="0.2">
      <c r="A125" s="1" t="s">
        <v>3857</v>
      </c>
    </row>
    <row r="126" spans="1:20" x14ac:dyDescent="0.2">
      <c r="A126" s="1" t="s">
        <v>3858</v>
      </c>
    </row>
    <row r="127" spans="1:20" ht="17" thickBot="1" x14ac:dyDescent="0.25"/>
    <row r="128" spans="1:20" ht="17" thickBot="1" x14ac:dyDescent="0.25">
      <c r="A128" s="148" t="s">
        <v>1285</v>
      </c>
      <c r="B128" s="150"/>
      <c r="C128" s="150"/>
      <c r="D128" s="150"/>
      <c r="E128" s="150"/>
      <c r="F128" s="151"/>
    </row>
    <row r="130" spans="1:1" x14ac:dyDescent="0.2">
      <c r="A130" s="1" t="s">
        <v>3862</v>
      </c>
    </row>
    <row r="131" spans="1:1" x14ac:dyDescent="0.2">
      <c r="A131" s="1" t="s">
        <v>3863</v>
      </c>
    </row>
    <row r="132" spans="1:1" x14ac:dyDescent="0.2">
      <c r="A132" s="1" t="s">
        <v>3864</v>
      </c>
    </row>
    <row r="133" spans="1:1" x14ac:dyDescent="0.2">
      <c r="A133" s="1" t="s">
        <v>3865</v>
      </c>
    </row>
    <row r="134" spans="1:1" x14ac:dyDescent="0.2">
      <c r="A134" s="1" t="s">
        <v>3866</v>
      </c>
    </row>
    <row r="135" spans="1:1" x14ac:dyDescent="0.2">
      <c r="A135" s="1" t="s">
        <v>3867</v>
      </c>
    </row>
    <row r="136" spans="1:1" x14ac:dyDescent="0.2">
      <c r="A136" s="1" t="s">
        <v>3868</v>
      </c>
    </row>
  </sheetData>
  <mergeCells count="3">
    <mergeCell ref="A1:H1"/>
    <mergeCell ref="J24:P24"/>
    <mergeCell ref="J80:O80"/>
  </mergeCells>
  <pageMargins left="0.7" right="0.7" top="0.75" bottom="0.75" header="0.3" footer="0.3"/>
  <ignoredErrors>
    <ignoredError sqref="P26 O82" formulaRange="1"/>
  </ignoredErrors>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062391-8B41-AD4F-82E1-316C1F370023}">
  <dimension ref="A1:A2"/>
  <sheetViews>
    <sheetView rightToLeft="1" zoomScale="329" workbookViewId="0">
      <selection activeCell="A4" sqref="A4"/>
    </sheetView>
  </sheetViews>
  <sheetFormatPr baseColWidth="10" defaultRowHeight="16" x14ac:dyDescent="0.2"/>
  <cols>
    <col min="1" max="16384" width="10.83203125" style="1"/>
  </cols>
  <sheetData>
    <row r="1" spans="1:1" x14ac:dyDescent="0.2">
      <c r="A1" s="1" t="s">
        <v>3869</v>
      </c>
    </row>
    <row r="2" spans="1:1" x14ac:dyDescent="0.2">
      <c r="A2" s="1" t="s">
        <v>3870</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C15398-DD6B-254F-8FB9-9001ED57E7CB}">
  <dimension ref="A1:I262"/>
  <sheetViews>
    <sheetView rightToLeft="1" tabSelected="1" topLeftCell="A246" zoomScale="347" workbookViewId="0">
      <selection activeCell="B254" sqref="B254"/>
    </sheetView>
  </sheetViews>
  <sheetFormatPr baseColWidth="10" defaultRowHeight="16" x14ac:dyDescent="0.2"/>
  <cols>
    <col min="1" max="16384" width="10.83203125" style="1"/>
  </cols>
  <sheetData>
    <row r="1" spans="1:8" x14ac:dyDescent="0.2">
      <c r="A1" s="2" t="s">
        <v>3871</v>
      </c>
      <c r="B1" s="2"/>
      <c r="C1" s="2"/>
      <c r="D1" s="2"/>
      <c r="E1" s="2"/>
      <c r="F1" s="2"/>
      <c r="G1" s="2"/>
      <c r="H1" s="2"/>
    </row>
    <row r="29" spans="1:1" x14ac:dyDescent="0.2">
      <c r="A29" s="1" t="s">
        <v>3872</v>
      </c>
    </row>
    <row r="30" spans="1:1" x14ac:dyDescent="0.2">
      <c r="A30" s="1" t="s">
        <v>3873</v>
      </c>
    </row>
    <row r="31" spans="1:1" x14ac:dyDescent="0.2">
      <c r="A31" s="1" t="s">
        <v>3874</v>
      </c>
    </row>
    <row r="33" spans="1:8" ht="21" x14ac:dyDescent="0.25">
      <c r="A33" s="619" t="s">
        <v>3875</v>
      </c>
      <c r="B33" s="5"/>
      <c r="C33" s="5"/>
      <c r="D33" s="5"/>
      <c r="E33" s="5"/>
      <c r="F33" s="5"/>
      <c r="G33" s="5"/>
      <c r="H33" s="5"/>
    </row>
    <row r="34" spans="1:8" x14ac:dyDescent="0.2">
      <c r="A34" s="1" t="s">
        <v>3876</v>
      </c>
    </row>
    <row r="35" spans="1:8" x14ac:dyDescent="0.2">
      <c r="A35" s="1" t="s">
        <v>3877</v>
      </c>
    </row>
    <row r="36" spans="1:8" x14ac:dyDescent="0.2">
      <c r="A36" s="1" t="s">
        <v>3878</v>
      </c>
    </row>
    <row r="37" spans="1:8" x14ac:dyDescent="0.2">
      <c r="A37" s="1" t="s">
        <v>3879</v>
      </c>
    </row>
    <row r="38" spans="1:8" ht="17" thickBot="1" x14ac:dyDescent="0.25"/>
    <row r="39" spans="1:8" ht="17" thickBot="1" x14ac:dyDescent="0.25">
      <c r="A39" s="336" t="s">
        <v>3881</v>
      </c>
      <c r="B39" s="150"/>
      <c r="C39" s="150"/>
      <c r="D39" s="150"/>
      <c r="E39" s="150"/>
      <c r="F39" s="150"/>
      <c r="G39" s="150"/>
      <c r="H39" s="151"/>
    </row>
    <row r="40" spans="1:8" x14ac:dyDescent="0.2">
      <c r="A40" s="1" t="s">
        <v>3882</v>
      </c>
    </row>
    <row r="41" spans="1:8" x14ac:dyDescent="0.2">
      <c r="A41" s="1" t="s">
        <v>3883</v>
      </c>
    </row>
    <row r="43" spans="1:8" x14ac:dyDescent="0.2">
      <c r="A43" s="1" t="s">
        <v>3889</v>
      </c>
    </row>
    <row r="44" spans="1:8" x14ac:dyDescent="0.2">
      <c r="A44" s="1" t="s">
        <v>3884</v>
      </c>
    </row>
    <row r="45" spans="1:8" x14ac:dyDescent="0.2">
      <c r="A45" s="1" t="s">
        <v>3885</v>
      </c>
    </row>
    <row r="46" spans="1:8" x14ac:dyDescent="0.2">
      <c r="A46" s="1" t="s">
        <v>3886</v>
      </c>
    </row>
    <row r="47" spans="1:8" x14ac:dyDescent="0.2">
      <c r="A47" s="1" t="s">
        <v>3887</v>
      </c>
    </row>
    <row r="48" spans="1:8" x14ac:dyDescent="0.2">
      <c r="A48" s="1" t="s">
        <v>3888</v>
      </c>
    </row>
    <row r="50" spans="1:7" x14ac:dyDescent="0.2">
      <c r="A50" s="37"/>
      <c r="B50" s="37">
        <v>10</v>
      </c>
      <c r="C50" s="37"/>
      <c r="D50" s="37"/>
      <c r="E50" s="37"/>
      <c r="F50" s="37"/>
      <c r="G50" s="37">
        <v>0</v>
      </c>
    </row>
    <row r="51" spans="1:7" x14ac:dyDescent="0.2">
      <c r="A51" s="37"/>
      <c r="B51" s="37"/>
      <c r="C51" s="37"/>
      <c r="D51" s="37"/>
      <c r="E51" s="37"/>
      <c r="F51" s="37"/>
      <c r="G51" s="37"/>
    </row>
    <row r="52" spans="1:7" x14ac:dyDescent="0.2">
      <c r="A52" s="37"/>
      <c r="B52" s="37" t="s">
        <v>3892</v>
      </c>
      <c r="C52" s="37"/>
      <c r="D52" s="37"/>
      <c r="E52" s="37"/>
      <c r="F52" s="37"/>
      <c r="G52" s="37" t="s">
        <v>3891</v>
      </c>
    </row>
    <row r="54" spans="1:7" x14ac:dyDescent="0.2">
      <c r="A54" s="1" t="s">
        <v>3893</v>
      </c>
    </row>
    <row r="56" spans="1:7" x14ac:dyDescent="0.2">
      <c r="A56" s="37"/>
      <c r="B56" s="37">
        <v>10</v>
      </c>
      <c r="C56" s="37"/>
      <c r="D56" s="37">
        <v>5</v>
      </c>
      <c r="E56" s="37"/>
      <c r="F56" s="37"/>
      <c r="G56" s="37">
        <v>0</v>
      </c>
    </row>
    <row r="57" spans="1:7" x14ac:dyDescent="0.2">
      <c r="A57" s="37"/>
      <c r="B57" s="37"/>
      <c r="C57" s="37"/>
      <c r="D57" s="37"/>
      <c r="E57" s="37"/>
      <c r="F57" s="37"/>
      <c r="G57" s="37"/>
    </row>
    <row r="58" spans="1:7" x14ac:dyDescent="0.2">
      <c r="A58" s="37"/>
      <c r="B58" s="37">
        <v>90</v>
      </c>
      <c r="C58" s="37"/>
      <c r="D58" s="37">
        <v>90</v>
      </c>
      <c r="E58" s="37"/>
      <c r="F58" s="37"/>
      <c r="G58" s="37" t="s">
        <v>3891</v>
      </c>
    </row>
    <row r="59" spans="1:7" x14ac:dyDescent="0.2">
      <c r="B59" s="37" t="s">
        <v>3894</v>
      </c>
      <c r="C59" s="37"/>
      <c r="D59" s="37" t="s">
        <v>3894</v>
      </c>
    </row>
    <row r="61" spans="1:7" x14ac:dyDescent="0.2">
      <c r="A61" s="1" t="s">
        <v>3895</v>
      </c>
    </row>
    <row r="63" spans="1:7" x14ac:dyDescent="0.2">
      <c r="A63" s="37"/>
      <c r="B63" s="37">
        <v>10</v>
      </c>
      <c r="C63" s="37"/>
      <c r="D63" s="37">
        <v>5</v>
      </c>
      <c r="E63" s="37"/>
      <c r="F63" s="37"/>
      <c r="G63" s="37">
        <v>0</v>
      </c>
    </row>
    <row r="64" spans="1:7" x14ac:dyDescent="0.2">
      <c r="A64" s="37"/>
      <c r="B64" s="37"/>
      <c r="C64" s="37"/>
      <c r="D64" s="37"/>
      <c r="E64" s="37"/>
      <c r="F64" s="37"/>
      <c r="G64" s="37"/>
    </row>
    <row r="65" spans="1:8" x14ac:dyDescent="0.2">
      <c r="A65" s="37"/>
      <c r="B65" s="37">
        <v>5</v>
      </c>
      <c r="C65" s="37"/>
      <c r="D65" s="37">
        <v>175</v>
      </c>
      <c r="E65" s="37"/>
      <c r="F65" s="37"/>
      <c r="G65" s="37" t="s">
        <v>3891</v>
      </c>
    </row>
    <row r="66" spans="1:8" x14ac:dyDescent="0.2">
      <c r="B66" s="37" t="s">
        <v>3894</v>
      </c>
      <c r="C66" s="37"/>
      <c r="D66" s="37" t="s">
        <v>3894</v>
      </c>
    </row>
    <row r="68" spans="1:8" x14ac:dyDescent="0.2">
      <c r="A68" s="1" t="s">
        <v>3896</v>
      </c>
    </row>
    <row r="69" spans="1:8" ht="17" thickBot="1" x14ac:dyDescent="0.25"/>
    <row r="70" spans="1:8" ht="17" thickBot="1" x14ac:dyDescent="0.25">
      <c r="A70" s="336" t="s">
        <v>3890</v>
      </c>
      <c r="B70" s="150"/>
      <c r="C70" s="150"/>
      <c r="D70" s="150"/>
      <c r="E70" s="150"/>
      <c r="F70" s="150"/>
      <c r="G70" s="150"/>
      <c r="H70" s="151"/>
    </row>
    <row r="72" spans="1:8" x14ac:dyDescent="0.2">
      <c r="A72" s="1" t="s">
        <v>3897</v>
      </c>
    </row>
    <row r="73" spans="1:8" x14ac:dyDescent="0.2">
      <c r="A73" s="1" t="s">
        <v>3898</v>
      </c>
    </row>
    <row r="74" spans="1:8" x14ac:dyDescent="0.2">
      <c r="A74" s="1" t="s">
        <v>3899</v>
      </c>
    </row>
    <row r="75" spans="1:8" ht="17" thickBot="1" x14ac:dyDescent="0.25"/>
    <row r="76" spans="1:8" ht="17" thickBot="1" x14ac:dyDescent="0.25">
      <c r="A76" s="336" t="s">
        <v>3900</v>
      </c>
      <c r="B76" s="150"/>
      <c r="C76" s="150"/>
      <c r="D76" s="150"/>
      <c r="E76" s="150"/>
      <c r="F76" s="150"/>
      <c r="G76" s="150"/>
      <c r="H76" s="151"/>
    </row>
    <row r="78" spans="1:8" x14ac:dyDescent="0.2">
      <c r="A78" s="1" t="s">
        <v>3901</v>
      </c>
    </row>
    <row r="79" spans="1:8" x14ac:dyDescent="0.2">
      <c r="E79" s="1" t="s">
        <v>3902</v>
      </c>
    </row>
    <row r="80" spans="1:8" x14ac:dyDescent="0.2">
      <c r="E80" s="1" t="s">
        <v>3903</v>
      </c>
    </row>
    <row r="81" spans="1:8" x14ac:dyDescent="0.2">
      <c r="A81" s="1" t="s">
        <v>3907</v>
      </c>
      <c r="E81" s="4" t="s">
        <v>3904</v>
      </c>
    </row>
    <row r="82" spans="1:8" x14ac:dyDescent="0.2">
      <c r="A82" s="1" t="s">
        <v>3908</v>
      </c>
      <c r="E82" s="4" t="s">
        <v>3905</v>
      </c>
    </row>
    <row r="83" spans="1:8" x14ac:dyDescent="0.2">
      <c r="A83" s="1" t="s">
        <v>3909</v>
      </c>
      <c r="E83" s="4" t="s">
        <v>3906</v>
      </c>
    </row>
    <row r="84" spans="1:8" x14ac:dyDescent="0.2">
      <c r="A84" s="1" t="s">
        <v>3910</v>
      </c>
    </row>
    <row r="85" spans="1:8" x14ac:dyDescent="0.2">
      <c r="A85" s="1" t="s">
        <v>3911</v>
      </c>
    </row>
    <row r="87" spans="1:8" x14ac:dyDescent="0.2">
      <c r="A87" s="1" t="s">
        <v>3912</v>
      </c>
    </row>
    <row r="88" spans="1:8" x14ac:dyDescent="0.2">
      <c r="A88" s="1" t="s">
        <v>3913</v>
      </c>
    </row>
    <row r="90" spans="1:8" x14ac:dyDescent="0.2">
      <c r="A90" s="1" t="s">
        <v>3914</v>
      </c>
    </row>
    <row r="91" spans="1:8" x14ac:dyDescent="0.2">
      <c r="A91" s="1" t="s">
        <v>3915</v>
      </c>
    </row>
    <row r="92" spans="1:8" x14ac:dyDescent="0.2">
      <c r="A92" s="1" t="s">
        <v>3916</v>
      </c>
    </row>
    <row r="93" spans="1:8" ht="17" thickBot="1" x14ac:dyDescent="0.25"/>
    <row r="94" spans="1:8" x14ac:dyDescent="0.2">
      <c r="A94" s="16" t="s">
        <v>3917</v>
      </c>
      <c r="B94" s="17"/>
      <c r="C94" s="17"/>
      <c r="D94" s="17"/>
      <c r="E94" s="17"/>
      <c r="F94" s="17"/>
      <c r="G94" s="17"/>
      <c r="H94" s="18"/>
    </row>
    <row r="95" spans="1:8" x14ac:dyDescent="0.2">
      <c r="A95" s="19" t="s">
        <v>3919</v>
      </c>
      <c r="B95" s="617"/>
      <c r="C95" s="617"/>
      <c r="D95" s="617"/>
      <c r="E95" s="617"/>
      <c r="F95" s="617"/>
      <c r="G95" s="617"/>
      <c r="H95" s="20"/>
    </row>
    <row r="96" spans="1:8" ht="17" thickBot="1" x14ac:dyDescent="0.25">
      <c r="A96" s="21" t="s">
        <v>3920</v>
      </c>
      <c r="B96" s="22"/>
      <c r="C96" s="22"/>
      <c r="D96" s="22"/>
      <c r="E96" s="22"/>
      <c r="F96" s="22"/>
      <c r="G96" s="22"/>
      <c r="H96" s="23"/>
    </row>
    <row r="97" spans="1:8" x14ac:dyDescent="0.2">
      <c r="A97" s="617"/>
      <c r="B97" s="617"/>
      <c r="C97" s="617"/>
      <c r="D97" s="617"/>
      <c r="E97" s="617"/>
      <c r="F97" s="617"/>
      <c r="G97" s="617"/>
      <c r="H97" s="617"/>
    </row>
    <row r="98" spans="1:8" x14ac:dyDescent="0.2">
      <c r="A98" s="618" t="s">
        <v>3918</v>
      </c>
      <c r="B98" s="617"/>
      <c r="C98" s="617"/>
      <c r="D98" s="617"/>
      <c r="E98" s="617"/>
      <c r="F98" s="617"/>
      <c r="G98" s="617"/>
      <c r="H98" s="617"/>
    </row>
    <row r="99" spans="1:8" x14ac:dyDescent="0.2">
      <c r="A99" s="470" t="s">
        <v>3876</v>
      </c>
    </row>
    <row r="100" spans="1:8" x14ac:dyDescent="0.2">
      <c r="A100" s="470" t="s">
        <v>3877</v>
      </c>
    </row>
    <row r="101" spans="1:8" x14ac:dyDescent="0.2">
      <c r="A101" s="470" t="s">
        <v>3878</v>
      </c>
    </row>
    <row r="102" spans="1:8" x14ac:dyDescent="0.2">
      <c r="A102" s="470" t="s">
        <v>3879</v>
      </c>
    </row>
    <row r="104" spans="1:8" x14ac:dyDescent="0.2">
      <c r="A104" s="1" t="s">
        <v>3921</v>
      </c>
    </row>
    <row r="105" spans="1:8" x14ac:dyDescent="0.2">
      <c r="A105" s="4" t="s">
        <v>3927</v>
      </c>
      <c r="D105" s="1" t="s">
        <v>3922</v>
      </c>
    </row>
    <row r="106" spans="1:8" x14ac:dyDescent="0.2">
      <c r="D106" s="1" t="s">
        <v>3923</v>
      </c>
    </row>
    <row r="108" spans="1:8" x14ac:dyDescent="0.2">
      <c r="A108" s="1" t="s">
        <v>3924</v>
      </c>
    </row>
    <row r="109" spans="1:8" x14ac:dyDescent="0.2">
      <c r="C109" s="37" t="s">
        <v>1075</v>
      </c>
      <c r="D109" s="1" t="s">
        <v>3925</v>
      </c>
    </row>
    <row r="111" spans="1:8" x14ac:dyDescent="0.2">
      <c r="A111" s="1" t="s">
        <v>3926</v>
      </c>
      <c r="C111" s="1" t="s">
        <v>3929</v>
      </c>
    </row>
    <row r="112" spans="1:8" x14ac:dyDescent="0.2">
      <c r="A112" s="4" t="s">
        <v>3928</v>
      </c>
      <c r="C112" s="1" t="s">
        <v>3930</v>
      </c>
    </row>
    <row r="113" spans="1:8" x14ac:dyDescent="0.2">
      <c r="C113" s="1" t="s">
        <v>3931</v>
      </c>
    </row>
    <row r="114" spans="1:8" x14ac:dyDescent="0.2">
      <c r="C114" s="1" t="s">
        <v>3932</v>
      </c>
    </row>
    <row r="115" spans="1:8" x14ac:dyDescent="0.2">
      <c r="C115" s="1" t="s">
        <v>3933</v>
      </c>
    </row>
    <row r="117" spans="1:8" x14ac:dyDescent="0.2">
      <c r="C117" s="1" t="s">
        <v>3934</v>
      </c>
    </row>
    <row r="118" spans="1:8" x14ac:dyDescent="0.2">
      <c r="C118" s="1" t="s">
        <v>3935</v>
      </c>
    </row>
    <row r="119" spans="1:8" x14ac:dyDescent="0.2">
      <c r="C119" s="1" t="s">
        <v>3936</v>
      </c>
    </row>
    <row r="121" spans="1:8" ht="21" x14ac:dyDescent="0.25">
      <c r="A121" s="619" t="s">
        <v>3937</v>
      </c>
      <c r="B121" s="5"/>
      <c r="C121" s="5"/>
      <c r="D121" s="5"/>
      <c r="E121" s="5"/>
      <c r="F121" s="5"/>
      <c r="G121" s="5"/>
      <c r="H121" s="5"/>
    </row>
    <row r="123" spans="1:8" x14ac:dyDescent="0.2">
      <c r="A123" s="1" t="s">
        <v>3938</v>
      </c>
    </row>
    <row r="124" spans="1:8" x14ac:dyDescent="0.2">
      <c r="A124" s="1" t="s">
        <v>3939</v>
      </c>
    </row>
    <row r="125" spans="1:8" ht="17" thickBot="1" x14ac:dyDescent="0.25"/>
    <row r="126" spans="1:8" x14ac:dyDescent="0.2">
      <c r="A126" s="16" t="s">
        <v>3940</v>
      </c>
      <c r="B126" s="17"/>
      <c r="C126" s="17"/>
      <c r="D126" s="17"/>
      <c r="E126" s="17"/>
      <c r="F126" s="17"/>
      <c r="G126" s="17"/>
      <c r="H126" s="18"/>
    </row>
    <row r="127" spans="1:8" ht="17" thickBot="1" x14ac:dyDescent="0.25">
      <c r="A127" s="21" t="s">
        <v>3941</v>
      </c>
      <c r="B127" s="22"/>
      <c r="C127" s="22"/>
      <c r="D127" s="22"/>
      <c r="E127" s="22"/>
      <c r="F127" s="22"/>
      <c r="G127" s="22"/>
      <c r="H127" s="23"/>
    </row>
    <row r="129" spans="1:8" x14ac:dyDescent="0.2">
      <c r="A129" s="1" t="s">
        <v>3942</v>
      </c>
      <c r="E129" s="1" t="s">
        <v>3943</v>
      </c>
    </row>
    <row r="134" spans="1:8" x14ac:dyDescent="0.2">
      <c r="B134" s="1" t="s">
        <v>3944</v>
      </c>
    </row>
    <row r="135" spans="1:8" x14ac:dyDescent="0.2">
      <c r="B135" s="1" t="s">
        <v>3945</v>
      </c>
    </row>
    <row r="136" spans="1:8" x14ac:dyDescent="0.2">
      <c r="B136" s="1" t="s">
        <v>3946</v>
      </c>
    </row>
    <row r="137" spans="1:8" ht="17" thickBot="1" x14ac:dyDescent="0.25"/>
    <row r="138" spans="1:8" x14ac:dyDescent="0.2">
      <c r="A138" s="16" t="s">
        <v>3947</v>
      </c>
      <c r="B138" s="17"/>
      <c r="C138" s="17"/>
      <c r="D138" s="17"/>
      <c r="E138" s="17"/>
      <c r="F138" s="17"/>
      <c r="G138" s="17"/>
      <c r="H138" s="18"/>
    </row>
    <row r="139" spans="1:8" x14ac:dyDescent="0.2">
      <c r="A139" s="19" t="s">
        <v>3948</v>
      </c>
      <c r="B139" s="617"/>
      <c r="C139" s="617"/>
      <c r="D139" s="617"/>
      <c r="E139" s="617"/>
      <c r="F139" s="617"/>
      <c r="G139" s="617"/>
      <c r="H139" s="20"/>
    </row>
    <row r="140" spans="1:8" ht="17" thickBot="1" x14ac:dyDescent="0.25">
      <c r="A140" s="21" t="s">
        <v>3952</v>
      </c>
      <c r="B140" s="22"/>
      <c r="C140" s="22"/>
      <c r="D140" s="22"/>
      <c r="E140" s="22"/>
      <c r="F140" s="22"/>
      <c r="G140" s="22"/>
      <c r="H140" s="23"/>
    </row>
    <row r="142" spans="1:8" x14ac:dyDescent="0.2">
      <c r="A142" s="1" t="s">
        <v>3942</v>
      </c>
      <c r="E142" s="1" t="s">
        <v>3943</v>
      </c>
    </row>
    <row r="143" spans="1:8" x14ac:dyDescent="0.2">
      <c r="F143" s="1" t="s">
        <v>3954</v>
      </c>
    </row>
    <row r="145" spans="1:9" x14ac:dyDescent="0.2">
      <c r="I145" s="549" t="s">
        <v>3959</v>
      </c>
    </row>
    <row r="147" spans="1:9" x14ac:dyDescent="0.2">
      <c r="G147" s="1" t="s">
        <v>3949</v>
      </c>
    </row>
    <row r="149" spans="1:9" x14ac:dyDescent="0.2">
      <c r="G149" s="1" t="s">
        <v>3950</v>
      </c>
    </row>
    <row r="151" spans="1:9" x14ac:dyDescent="0.2">
      <c r="F151" s="1" t="s">
        <v>3951</v>
      </c>
    </row>
    <row r="153" spans="1:9" x14ac:dyDescent="0.2">
      <c r="E153" s="1" t="s">
        <v>3953</v>
      </c>
    </row>
    <row r="154" spans="1:9" x14ac:dyDescent="0.2">
      <c r="E154" s="1" t="s">
        <v>3955</v>
      </c>
    </row>
    <row r="156" spans="1:9" x14ac:dyDescent="0.2">
      <c r="E156" s="1" t="s">
        <v>3956</v>
      </c>
    </row>
    <row r="157" spans="1:9" x14ac:dyDescent="0.2">
      <c r="E157" s="1" t="s">
        <v>3957</v>
      </c>
    </row>
    <row r="158" spans="1:9" x14ac:dyDescent="0.2">
      <c r="E158" s="1" t="s">
        <v>3958</v>
      </c>
    </row>
    <row r="159" spans="1:9" ht="17" thickBot="1" x14ac:dyDescent="0.25"/>
    <row r="160" spans="1:9" x14ac:dyDescent="0.2">
      <c r="A160" s="16" t="s">
        <v>3960</v>
      </c>
      <c r="B160" s="17"/>
      <c r="C160" s="17"/>
      <c r="D160" s="17"/>
      <c r="E160" s="17"/>
      <c r="F160" s="17"/>
      <c r="G160" s="17"/>
      <c r="H160" s="18"/>
    </row>
    <row r="161" spans="1:8" x14ac:dyDescent="0.2">
      <c r="A161" s="19" t="s">
        <v>3961</v>
      </c>
      <c r="B161" s="617"/>
      <c r="C161" s="617"/>
      <c r="D161" s="617"/>
      <c r="E161" s="617"/>
      <c r="F161" s="617"/>
      <c r="G161" s="617"/>
      <c r="H161" s="20"/>
    </row>
    <row r="162" spans="1:8" ht="17" thickBot="1" x14ac:dyDescent="0.25">
      <c r="A162" s="21" t="s">
        <v>3962</v>
      </c>
      <c r="B162" s="22"/>
      <c r="C162" s="22"/>
      <c r="D162" s="22"/>
      <c r="E162" s="22"/>
      <c r="F162" s="22"/>
      <c r="G162" s="22"/>
      <c r="H162" s="23"/>
    </row>
    <row r="164" spans="1:8" x14ac:dyDescent="0.2">
      <c r="A164" s="1" t="s">
        <v>3963</v>
      </c>
    </row>
    <row r="167" spans="1:8" x14ac:dyDescent="0.2">
      <c r="A167" s="1" t="s">
        <v>3964</v>
      </c>
    </row>
    <row r="168" spans="1:8" x14ac:dyDescent="0.2">
      <c r="A168" s="1" t="s">
        <v>3965</v>
      </c>
    </row>
    <row r="169" spans="1:8" x14ac:dyDescent="0.2">
      <c r="A169" s="1" t="s">
        <v>3966</v>
      </c>
    </row>
    <row r="170" spans="1:8" ht="17" thickBot="1" x14ac:dyDescent="0.25"/>
    <row r="171" spans="1:8" x14ac:dyDescent="0.2">
      <c r="A171" s="16" t="s">
        <v>3967</v>
      </c>
      <c r="B171" s="17"/>
      <c r="C171" s="17"/>
      <c r="D171" s="17"/>
      <c r="E171" s="17"/>
      <c r="F171" s="17"/>
      <c r="G171" s="17"/>
      <c r="H171" s="18"/>
    </row>
    <row r="172" spans="1:8" x14ac:dyDescent="0.2">
      <c r="A172" s="19" t="s">
        <v>3968</v>
      </c>
      <c r="B172" s="617"/>
      <c r="C172" s="617"/>
      <c r="D172" s="617"/>
      <c r="E172" s="617"/>
      <c r="F172" s="617"/>
      <c r="G172" s="617"/>
      <c r="H172" s="20"/>
    </row>
    <row r="173" spans="1:8" x14ac:dyDescent="0.2">
      <c r="A173" s="19" t="s">
        <v>3969</v>
      </c>
      <c r="B173" s="617"/>
      <c r="C173" s="617"/>
      <c r="D173" s="617"/>
      <c r="E173" s="617"/>
      <c r="F173" s="617"/>
      <c r="G173" s="617"/>
      <c r="H173" s="20"/>
    </row>
    <row r="174" spans="1:8" ht="17" thickBot="1" x14ac:dyDescent="0.25">
      <c r="A174" s="21" t="s">
        <v>3970</v>
      </c>
      <c r="B174" s="22"/>
      <c r="C174" s="22"/>
      <c r="D174" s="22"/>
      <c r="E174" s="22"/>
      <c r="F174" s="22"/>
      <c r="G174" s="22"/>
      <c r="H174" s="23"/>
    </row>
    <row r="176" spans="1:8" x14ac:dyDescent="0.2">
      <c r="A176" s="1" t="s">
        <v>3979</v>
      </c>
    </row>
    <row r="177" spans="1:8" x14ac:dyDescent="0.2">
      <c r="A177" s="1" t="s">
        <v>3980</v>
      </c>
    </row>
    <row r="178" spans="1:8" x14ac:dyDescent="0.2">
      <c r="A178" s="1" t="s">
        <v>3981</v>
      </c>
      <c r="G178" s="1" t="s">
        <v>3978</v>
      </c>
    </row>
    <row r="179" spans="1:8" x14ac:dyDescent="0.2">
      <c r="A179" s="1" t="s">
        <v>3982</v>
      </c>
      <c r="D179" s="1" t="s">
        <v>3971</v>
      </c>
    </row>
    <row r="180" spans="1:8" x14ac:dyDescent="0.2">
      <c r="A180" s="1" t="s">
        <v>3983</v>
      </c>
      <c r="D180" s="1" t="s">
        <v>3972</v>
      </c>
      <c r="F180" s="1" t="s">
        <v>3976</v>
      </c>
    </row>
    <row r="181" spans="1:8" x14ac:dyDescent="0.2">
      <c r="D181" s="1" t="s">
        <v>3973</v>
      </c>
      <c r="F181" s="1" t="s">
        <v>3977</v>
      </c>
    </row>
    <row r="182" spans="1:8" x14ac:dyDescent="0.2">
      <c r="D182" s="1" t="s">
        <v>3974</v>
      </c>
    </row>
    <row r="183" spans="1:8" x14ac:dyDescent="0.2">
      <c r="A183" s="1" t="s">
        <v>3984</v>
      </c>
      <c r="D183" s="1" t="s">
        <v>3975</v>
      </c>
    </row>
    <row r="184" spans="1:8" x14ac:dyDescent="0.2">
      <c r="A184" s="1" t="s">
        <v>3985</v>
      </c>
    </row>
    <row r="185" spans="1:8" x14ac:dyDescent="0.2">
      <c r="A185" s="1" t="s">
        <v>3986</v>
      </c>
    </row>
    <row r="186" spans="1:8" x14ac:dyDescent="0.2">
      <c r="A186" s="1" t="s">
        <v>3987</v>
      </c>
    </row>
    <row r="187" spans="1:8" x14ac:dyDescent="0.2">
      <c r="A187" s="1" t="s">
        <v>3988</v>
      </c>
    </row>
    <row r="188" spans="1:8" x14ac:dyDescent="0.2">
      <c r="A188" s="1" t="s">
        <v>3989</v>
      </c>
    </row>
    <row r="190" spans="1:8" ht="21" x14ac:dyDescent="0.25">
      <c r="A190" s="619" t="s">
        <v>3990</v>
      </c>
      <c r="B190" s="5"/>
      <c r="C190" s="5"/>
      <c r="D190" s="5"/>
      <c r="E190" s="5"/>
      <c r="F190" s="5"/>
      <c r="G190" s="5"/>
      <c r="H190" s="5"/>
    </row>
    <row r="192" spans="1:8" x14ac:dyDescent="0.2">
      <c r="A192" s="4" t="s">
        <v>378</v>
      </c>
    </row>
    <row r="193" spans="1:2" x14ac:dyDescent="0.2">
      <c r="A193" s="1" t="s">
        <v>3991</v>
      </c>
    </row>
    <row r="194" spans="1:2" x14ac:dyDescent="0.2">
      <c r="A194" s="1" t="s">
        <v>3992</v>
      </c>
    </row>
    <row r="195" spans="1:2" x14ac:dyDescent="0.2">
      <c r="A195" s="1" t="s">
        <v>3993</v>
      </c>
    </row>
    <row r="197" spans="1:2" x14ac:dyDescent="0.2">
      <c r="A197" s="1" t="s">
        <v>3994</v>
      </c>
    </row>
    <row r="198" spans="1:2" x14ac:dyDescent="0.2">
      <c r="B198" s="1" t="s">
        <v>3995</v>
      </c>
    </row>
    <row r="199" spans="1:2" x14ac:dyDescent="0.2">
      <c r="B199" s="1" t="s">
        <v>3996</v>
      </c>
    </row>
    <row r="201" spans="1:2" x14ac:dyDescent="0.2">
      <c r="A201" s="1" t="s">
        <v>3997</v>
      </c>
    </row>
    <row r="202" spans="1:2" x14ac:dyDescent="0.2">
      <c r="A202" s="1" t="s">
        <v>3998</v>
      </c>
    </row>
    <row r="204" spans="1:2" x14ac:dyDescent="0.2">
      <c r="A204" s="1" t="s">
        <v>3999</v>
      </c>
    </row>
    <row r="205" spans="1:2" x14ac:dyDescent="0.2">
      <c r="A205" s="1" t="s">
        <v>4000</v>
      </c>
    </row>
    <row r="207" spans="1:2" x14ac:dyDescent="0.2">
      <c r="A207" s="1" t="s">
        <v>4001</v>
      </c>
    </row>
    <row r="208" spans="1:2" x14ac:dyDescent="0.2">
      <c r="A208" s="1" t="s">
        <v>4002</v>
      </c>
    </row>
    <row r="209" spans="1:8" ht="17" thickBot="1" x14ac:dyDescent="0.25"/>
    <row r="210" spans="1:8" x14ac:dyDescent="0.2">
      <c r="A210" s="57" t="s">
        <v>3880</v>
      </c>
      <c r="B210" s="17"/>
      <c r="C210" s="17"/>
      <c r="D210" s="17"/>
      <c r="E210" s="17"/>
      <c r="F210" s="17"/>
      <c r="G210" s="17"/>
      <c r="H210" s="18"/>
    </row>
    <row r="211" spans="1:8" x14ac:dyDescent="0.2">
      <c r="A211" s="19" t="s">
        <v>4003</v>
      </c>
      <c r="B211" s="617"/>
      <c r="C211" s="617"/>
      <c r="D211" s="617"/>
      <c r="E211" s="617"/>
      <c r="F211" s="617"/>
      <c r="G211" s="617"/>
      <c r="H211" s="20"/>
    </row>
    <row r="212" spans="1:8" x14ac:dyDescent="0.2">
      <c r="A212" s="19" t="s">
        <v>4004</v>
      </c>
      <c r="B212" s="617"/>
      <c r="C212" s="617"/>
      <c r="D212" s="617"/>
      <c r="E212" s="617"/>
      <c r="F212" s="617"/>
      <c r="G212" s="617"/>
      <c r="H212" s="20"/>
    </row>
    <row r="213" spans="1:8" x14ac:dyDescent="0.2">
      <c r="A213" s="19" t="s">
        <v>4005</v>
      </c>
      <c r="B213" s="617"/>
      <c r="C213" s="617"/>
      <c r="D213" s="617"/>
      <c r="E213" s="617"/>
      <c r="F213" s="617"/>
      <c r="G213" s="617"/>
      <c r="H213" s="20"/>
    </row>
    <row r="214" spans="1:8" x14ac:dyDescent="0.2">
      <c r="A214" s="19" t="s">
        <v>4006</v>
      </c>
      <c r="B214" s="617"/>
      <c r="C214" s="617"/>
      <c r="D214" s="617"/>
      <c r="E214" s="617"/>
      <c r="F214" s="617"/>
      <c r="G214" s="617"/>
      <c r="H214" s="20"/>
    </row>
    <row r="215" spans="1:8" x14ac:dyDescent="0.2">
      <c r="A215" s="19" t="s">
        <v>4007</v>
      </c>
      <c r="B215" s="617"/>
      <c r="C215" s="617"/>
      <c r="D215" s="617"/>
      <c r="E215" s="617"/>
      <c r="F215" s="617"/>
      <c r="G215" s="617"/>
      <c r="H215" s="20"/>
    </row>
    <row r="216" spans="1:8" ht="17" thickBot="1" x14ac:dyDescent="0.25">
      <c r="A216" s="21" t="s">
        <v>4008</v>
      </c>
      <c r="B216" s="22"/>
      <c r="C216" s="22"/>
      <c r="D216" s="22"/>
      <c r="E216" s="22"/>
      <c r="F216" s="22"/>
      <c r="G216" s="22"/>
      <c r="H216" s="23"/>
    </row>
    <row r="218" spans="1:8" x14ac:dyDescent="0.2">
      <c r="A218" s="1" t="s">
        <v>198</v>
      </c>
    </row>
    <row r="219" spans="1:8" x14ac:dyDescent="0.2">
      <c r="A219" s="1" t="s">
        <v>4009</v>
      </c>
    </row>
    <row r="220" spans="1:8" x14ac:dyDescent="0.2">
      <c r="A220" s="1" t="s">
        <v>4010</v>
      </c>
    </row>
    <row r="221" spans="1:8" x14ac:dyDescent="0.2">
      <c r="A221" s="1" t="s">
        <v>4011</v>
      </c>
    </row>
    <row r="222" spans="1:8" x14ac:dyDescent="0.2">
      <c r="A222" s="1" t="s">
        <v>146</v>
      </c>
    </row>
    <row r="223" spans="1:8" x14ac:dyDescent="0.2">
      <c r="B223" s="1" t="s">
        <v>4012</v>
      </c>
    </row>
    <row r="224" spans="1:8" x14ac:dyDescent="0.2">
      <c r="B224" s="1" t="s">
        <v>4013</v>
      </c>
    </row>
    <row r="226" spans="1:8" x14ac:dyDescent="0.2">
      <c r="B226" s="1" t="s">
        <v>4014</v>
      </c>
    </row>
    <row r="227" spans="1:8" x14ac:dyDescent="0.2">
      <c r="B227" s="1" t="s">
        <v>4015</v>
      </c>
    </row>
    <row r="229" spans="1:8" x14ac:dyDescent="0.2">
      <c r="B229" s="4" t="s">
        <v>4016</v>
      </c>
    </row>
    <row r="230" spans="1:8" x14ac:dyDescent="0.2">
      <c r="B230" s="4" t="s">
        <v>4017</v>
      </c>
    </row>
    <row r="231" spans="1:8" ht="17" thickBot="1" x14ac:dyDescent="0.25"/>
    <row r="232" spans="1:8" x14ac:dyDescent="0.2">
      <c r="A232" s="57" t="s">
        <v>4018</v>
      </c>
      <c r="B232" s="17"/>
      <c r="C232" s="17"/>
      <c r="D232" s="17"/>
      <c r="E232" s="17"/>
      <c r="F232" s="17"/>
      <c r="G232" s="17"/>
      <c r="H232" s="18"/>
    </row>
    <row r="233" spans="1:8" x14ac:dyDescent="0.2">
      <c r="A233" s="19" t="s">
        <v>4019</v>
      </c>
      <c r="B233" s="617"/>
      <c r="C233" s="617"/>
      <c r="D233" s="617"/>
      <c r="E233" s="617"/>
      <c r="F233" s="617"/>
      <c r="G233" s="617"/>
      <c r="H233" s="20"/>
    </row>
    <row r="234" spans="1:8" ht="17" thickBot="1" x14ac:dyDescent="0.25">
      <c r="A234" s="21" t="s">
        <v>4020</v>
      </c>
      <c r="B234" s="22"/>
      <c r="C234" s="22"/>
      <c r="D234" s="22"/>
      <c r="E234" s="22"/>
      <c r="F234" s="22"/>
      <c r="G234" s="22"/>
      <c r="H234" s="23"/>
    </row>
    <row r="236" spans="1:8" x14ac:dyDescent="0.2">
      <c r="B236" s="1" t="s">
        <v>4021</v>
      </c>
      <c r="D236" s="1" t="s">
        <v>4026</v>
      </c>
      <c r="G236" s="1" t="s">
        <v>4023</v>
      </c>
    </row>
    <row r="237" spans="1:8" x14ac:dyDescent="0.2">
      <c r="B237" s="1" t="s">
        <v>4022</v>
      </c>
      <c r="G237" s="1" t="s">
        <v>4024</v>
      </c>
    </row>
    <row r="238" spans="1:8" x14ac:dyDescent="0.2">
      <c r="B238" s="1" t="s">
        <v>1353</v>
      </c>
      <c r="D238" s="1" t="s">
        <v>4027</v>
      </c>
      <c r="G238" s="1" t="s">
        <v>4025</v>
      </c>
    </row>
    <row r="239" spans="1:8" x14ac:dyDescent="0.2">
      <c r="D239" s="1" t="s">
        <v>4028</v>
      </c>
    </row>
    <row r="241" spans="1:8" x14ac:dyDescent="0.2">
      <c r="A241" s="1" t="s">
        <v>4029</v>
      </c>
    </row>
    <row r="242" spans="1:8" x14ac:dyDescent="0.2">
      <c r="B242" s="1" t="s">
        <v>4030</v>
      </c>
    </row>
    <row r="243" spans="1:8" x14ac:dyDescent="0.2">
      <c r="B243" s="1" t="s">
        <v>4031</v>
      </c>
    </row>
    <row r="245" spans="1:8" x14ac:dyDescent="0.2">
      <c r="B245" s="1" t="s">
        <v>4032</v>
      </c>
    </row>
    <row r="247" spans="1:8" x14ac:dyDescent="0.2">
      <c r="B247" s="1" t="s">
        <v>4033</v>
      </c>
    </row>
    <row r="248" spans="1:8" ht="17" thickBot="1" x14ac:dyDescent="0.25"/>
    <row r="249" spans="1:8" x14ac:dyDescent="0.2">
      <c r="A249" s="57" t="s">
        <v>4034</v>
      </c>
      <c r="B249" s="17"/>
      <c r="C249" s="17"/>
      <c r="D249" s="17"/>
      <c r="E249" s="17"/>
      <c r="F249" s="17"/>
      <c r="G249" s="17"/>
      <c r="H249" s="18"/>
    </row>
    <row r="250" spans="1:8" x14ac:dyDescent="0.2">
      <c r="A250" s="19" t="s">
        <v>4035</v>
      </c>
      <c r="B250" s="617"/>
      <c r="C250" s="617"/>
      <c r="D250" s="617"/>
      <c r="E250" s="617"/>
      <c r="F250" s="617"/>
      <c r="G250" s="617"/>
      <c r="H250" s="20"/>
    </row>
    <row r="251" spans="1:8" x14ac:dyDescent="0.2">
      <c r="A251" s="19" t="s">
        <v>4036</v>
      </c>
      <c r="B251" s="617"/>
      <c r="C251" s="617"/>
      <c r="D251" s="617"/>
      <c r="E251" s="617"/>
      <c r="F251" s="617"/>
      <c r="G251" s="617"/>
      <c r="H251" s="20"/>
    </row>
    <row r="252" spans="1:8" ht="17" thickBot="1" x14ac:dyDescent="0.25">
      <c r="A252" s="21" t="s">
        <v>4037</v>
      </c>
      <c r="B252" s="22"/>
      <c r="C252" s="22"/>
      <c r="D252" s="22"/>
      <c r="E252" s="22"/>
      <c r="F252" s="22"/>
      <c r="G252" s="22"/>
      <c r="H252" s="23"/>
    </row>
    <row r="254" spans="1:8" x14ac:dyDescent="0.2">
      <c r="A254" s="1" t="s">
        <v>4038</v>
      </c>
    </row>
    <row r="255" spans="1:8" x14ac:dyDescent="0.2">
      <c r="A255" s="1" t="s">
        <v>4039</v>
      </c>
    </row>
    <row r="257" spans="1:1" x14ac:dyDescent="0.2">
      <c r="A257" s="1" t="s">
        <v>4040</v>
      </c>
    </row>
    <row r="258" spans="1:1" x14ac:dyDescent="0.2">
      <c r="A258" s="1" t="s">
        <v>4041</v>
      </c>
    </row>
    <row r="259" spans="1:1" x14ac:dyDescent="0.2">
      <c r="A259" s="1" t="s">
        <v>4042</v>
      </c>
    </row>
    <row r="261" spans="1:1" x14ac:dyDescent="0.2">
      <c r="A261" s="4" t="s">
        <v>4043</v>
      </c>
    </row>
    <row r="262" spans="1:1" x14ac:dyDescent="0.2">
      <c r="A262" s="4" t="s">
        <v>4044</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25E90-8587-7A4B-9E8B-2A0ACB7CB567}">
  <dimension ref="A1:N472"/>
  <sheetViews>
    <sheetView showGridLines="0" rightToLeft="1" topLeftCell="A54" zoomScale="212" workbookViewId="0">
      <selection activeCell="H2" sqref="H2"/>
    </sheetView>
  </sheetViews>
  <sheetFormatPr baseColWidth="10" defaultColWidth="11" defaultRowHeight="16" x14ac:dyDescent="0.2"/>
  <cols>
    <col min="1" max="3" width="11" style="1"/>
    <col min="4" max="4" width="10" style="1" customWidth="1"/>
    <col min="5" max="16384" width="11" style="1"/>
  </cols>
  <sheetData>
    <row r="1" spans="1:8" x14ac:dyDescent="0.2">
      <c r="A1" s="3" t="s">
        <v>3049</v>
      </c>
      <c r="B1" s="2"/>
      <c r="C1" s="2"/>
      <c r="D1" s="2"/>
      <c r="E1" s="2"/>
      <c r="F1" s="2"/>
      <c r="G1" s="2"/>
      <c r="H1" s="46">
        <v>45663</v>
      </c>
    </row>
    <row r="3" spans="1:8" x14ac:dyDescent="0.2">
      <c r="A3" s="4" t="s">
        <v>3110</v>
      </c>
    </row>
    <row r="5" spans="1:8" x14ac:dyDescent="0.2">
      <c r="A5" s="153" t="s">
        <v>3069</v>
      </c>
      <c r="B5" s="153"/>
      <c r="C5" s="153"/>
      <c r="D5" s="153"/>
      <c r="E5" s="153"/>
      <c r="F5" s="153"/>
      <c r="G5" s="153"/>
      <c r="H5" s="153"/>
    </row>
    <row r="6" spans="1:8" x14ac:dyDescent="0.2">
      <c r="A6" s="1" t="s">
        <v>3070</v>
      </c>
    </row>
    <row r="7" spans="1:8" x14ac:dyDescent="0.2">
      <c r="A7" s="1" t="s">
        <v>3071</v>
      </c>
    </row>
    <row r="8" spans="1:8" x14ac:dyDescent="0.2">
      <c r="A8" s="1" t="s">
        <v>3111</v>
      </c>
    </row>
    <row r="10" spans="1:8" x14ac:dyDescent="0.2">
      <c r="A10" s="153" t="s">
        <v>3081</v>
      </c>
      <c r="B10" s="153"/>
      <c r="C10" s="153"/>
      <c r="D10" s="153"/>
      <c r="E10" s="153"/>
      <c r="F10" s="153"/>
      <c r="G10" s="153"/>
      <c r="H10" s="153"/>
    </row>
    <row r="11" spans="1:8" x14ac:dyDescent="0.2">
      <c r="A11" s="1" t="s">
        <v>3082</v>
      </c>
    </row>
    <row r="13" spans="1:8" x14ac:dyDescent="0.2">
      <c r="A13" s="153" t="s">
        <v>3083</v>
      </c>
      <c r="B13" s="153"/>
      <c r="C13" s="153"/>
      <c r="D13" s="153"/>
      <c r="E13" s="153"/>
      <c r="F13" s="153"/>
      <c r="G13" s="153"/>
      <c r="H13" s="153"/>
    </row>
    <row r="14" spans="1:8" x14ac:dyDescent="0.2">
      <c r="A14" s="1" t="s">
        <v>3084</v>
      </c>
    </row>
    <row r="16" spans="1:8" x14ac:dyDescent="0.2">
      <c r="A16" s="153" t="s">
        <v>3085</v>
      </c>
      <c r="B16" s="153"/>
      <c r="C16" s="153"/>
      <c r="D16" s="153"/>
      <c r="E16" s="153"/>
      <c r="F16" s="153"/>
      <c r="G16" s="153"/>
      <c r="H16" s="153"/>
    </row>
    <row r="17" spans="1:8" x14ac:dyDescent="0.2">
      <c r="A17" s="1" t="s">
        <v>3086</v>
      </c>
    </row>
    <row r="19" spans="1:8" x14ac:dyDescent="0.2">
      <c r="A19" s="153" t="s">
        <v>3072</v>
      </c>
      <c r="B19" s="152"/>
      <c r="C19" s="152"/>
      <c r="D19" s="152"/>
      <c r="E19" s="152"/>
      <c r="F19" s="152"/>
      <c r="G19" s="152"/>
      <c r="H19" s="152"/>
    </row>
    <row r="21" spans="1:8" x14ac:dyDescent="0.2">
      <c r="A21" s="25" t="s">
        <v>3073</v>
      </c>
      <c r="B21" s="25" t="s">
        <v>13</v>
      </c>
      <c r="C21" s="25" t="s">
        <v>3112</v>
      </c>
      <c r="D21" s="25" t="s">
        <v>3074</v>
      </c>
      <c r="E21" s="25" t="s">
        <v>3075</v>
      </c>
      <c r="F21" s="25"/>
      <c r="G21" s="25"/>
      <c r="H21" s="25"/>
    </row>
    <row r="22" spans="1:8" x14ac:dyDescent="0.2">
      <c r="A22" s="1">
        <v>1</v>
      </c>
      <c r="B22" s="1" t="s">
        <v>3076</v>
      </c>
      <c r="C22" s="1" t="s">
        <v>3113</v>
      </c>
      <c r="D22" s="1">
        <v>30</v>
      </c>
      <c r="E22" s="1" t="s">
        <v>3077</v>
      </c>
    </row>
    <row r="23" spans="1:8" x14ac:dyDescent="0.2">
      <c r="A23" s="1">
        <v>2</v>
      </c>
      <c r="B23" s="1" t="s">
        <v>3076</v>
      </c>
      <c r="C23" s="1" t="s">
        <v>3113</v>
      </c>
      <c r="D23" s="1">
        <v>30</v>
      </c>
      <c r="E23" s="1" t="s">
        <v>3078</v>
      </c>
    </row>
    <row r="24" spans="1:8" x14ac:dyDescent="0.2">
      <c r="A24" s="1">
        <v>3</v>
      </c>
      <c r="B24" s="1" t="s">
        <v>3079</v>
      </c>
      <c r="C24" s="1" t="s">
        <v>3113</v>
      </c>
      <c r="D24" s="1">
        <v>30</v>
      </c>
      <c r="E24" s="1" t="s">
        <v>3078</v>
      </c>
    </row>
    <row r="25" spans="1:8" x14ac:dyDescent="0.2">
      <c r="A25" s="1">
        <v>4</v>
      </c>
      <c r="B25" s="1" t="s">
        <v>1847</v>
      </c>
      <c r="C25" s="1" t="s">
        <v>3114</v>
      </c>
      <c r="D25" s="1">
        <v>5</v>
      </c>
      <c r="E25" s="1" t="s">
        <v>3080</v>
      </c>
    </row>
    <row r="26" spans="1:8" x14ac:dyDescent="0.2">
      <c r="A26" s="1">
        <v>5</v>
      </c>
      <c r="B26" s="1" t="s">
        <v>1847</v>
      </c>
      <c r="C26" s="1" t="s">
        <v>3114</v>
      </c>
      <c r="D26" s="1">
        <v>5</v>
      </c>
      <c r="E26" s="1" t="s">
        <v>3080</v>
      </c>
    </row>
    <row r="27" spans="1:8" x14ac:dyDescent="0.2">
      <c r="B27" s="1" t="s">
        <v>285</v>
      </c>
      <c r="D27" s="465">
        <f>SUM(D22:D26)</f>
        <v>100</v>
      </c>
    </row>
    <row r="29" spans="1:8" x14ac:dyDescent="0.2">
      <c r="A29" s="153" t="s">
        <v>3092</v>
      </c>
      <c r="B29" s="152"/>
      <c r="C29" s="152"/>
      <c r="D29" s="152"/>
      <c r="E29" s="152"/>
      <c r="F29" s="152"/>
      <c r="G29" s="152"/>
      <c r="H29" s="152"/>
    </row>
    <row r="31" spans="1:8" x14ac:dyDescent="0.2">
      <c r="A31" s="25" t="s">
        <v>11</v>
      </c>
      <c r="B31" s="25" t="s">
        <v>12</v>
      </c>
      <c r="C31" s="25" t="s">
        <v>3087</v>
      </c>
      <c r="D31" s="25"/>
      <c r="E31" s="25" t="s">
        <v>3090</v>
      </c>
      <c r="F31" s="25"/>
      <c r="G31" s="25"/>
      <c r="H31" s="25"/>
    </row>
    <row r="32" spans="1:8" x14ac:dyDescent="0.2">
      <c r="A32" s="1">
        <v>11</v>
      </c>
      <c r="B32" s="53" t="s">
        <v>3091</v>
      </c>
      <c r="C32" s="1" t="s">
        <v>3088</v>
      </c>
      <c r="E32" s="1" t="s">
        <v>3116</v>
      </c>
    </row>
    <row r="33" spans="1:8" x14ac:dyDescent="0.2">
      <c r="A33" s="1">
        <v>12</v>
      </c>
      <c r="B33" s="53" t="s">
        <v>3091</v>
      </c>
      <c r="C33" s="1" t="s">
        <v>3088</v>
      </c>
      <c r="E33" s="1" t="s">
        <v>3117</v>
      </c>
    </row>
    <row r="34" spans="1:8" x14ac:dyDescent="0.2">
      <c r="A34" s="1">
        <v>13</v>
      </c>
      <c r="B34" s="331">
        <v>45344</v>
      </c>
      <c r="C34" s="1" t="s">
        <v>3089</v>
      </c>
      <c r="E34" s="1" t="s">
        <v>3115</v>
      </c>
    </row>
    <row r="36" spans="1:8" x14ac:dyDescent="0.2">
      <c r="A36" s="1" t="s">
        <v>3097</v>
      </c>
    </row>
    <row r="38" spans="1:8" x14ac:dyDescent="0.2">
      <c r="A38" s="153" t="s">
        <v>3093</v>
      </c>
      <c r="B38" s="152"/>
      <c r="C38" s="152"/>
      <c r="D38" s="152"/>
      <c r="E38" s="152"/>
      <c r="F38" s="152"/>
      <c r="G38" s="152"/>
      <c r="H38" s="152"/>
    </row>
    <row r="39" spans="1:8" x14ac:dyDescent="0.2">
      <c r="A39" s="1" t="s">
        <v>3094</v>
      </c>
    </row>
    <row r="40" spans="1:8" x14ac:dyDescent="0.2">
      <c r="A40" s="1" t="s">
        <v>3095</v>
      </c>
    </row>
    <row r="41" spans="1:8" x14ac:dyDescent="0.2">
      <c r="A41" s="1" t="s">
        <v>3096</v>
      </c>
    </row>
    <row r="43" spans="1:8" x14ac:dyDescent="0.2">
      <c r="A43" s="153" t="s">
        <v>3098</v>
      </c>
      <c r="B43" s="153"/>
      <c r="C43" s="153"/>
      <c r="D43" s="153"/>
      <c r="E43" s="153"/>
      <c r="F43" s="153"/>
      <c r="G43" s="153"/>
      <c r="H43" s="153"/>
    </row>
    <row r="44" spans="1:8" x14ac:dyDescent="0.2">
      <c r="A44" s="1" t="s">
        <v>3099</v>
      </c>
    </row>
    <row r="45" spans="1:8" x14ac:dyDescent="0.2">
      <c r="A45" s="1" t="s">
        <v>3100</v>
      </c>
    </row>
    <row r="46" spans="1:8" x14ac:dyDescent="0.2">
      <c r="A46" s="1" t="s">
        <v>3101</v>
      </c>
    </row>
    <row r="47" spans="1:8" x14ac:dyDescent="0.2">
      <c r="A47" s="1" t="s">
        <v>3102</v>
      </c>
    </row>
    <row r="48" spans="1:8" x14ac:dyDescent="0.2">
      <c r="A48" s="1" t="s">
        <v>282</v>
      </c>
    </row>
    <row r="49" spans="1:7" x14ac:dyDescent="0.2">
      <c r="A49" s="1" t="s">
        <v>3103</v>
      </c>
    </row>
    <row r="50" spans="1:7" x14ac:dyDescent="0.2">
      <c r="A50" s="1" t="s">
        <v>3104</v>
      </c>
    </row>
    <row r="51" spans="1:7" x14ac:dyDescent="0.2">
      <c r="A51" s="1" t="s">
        <v>3105</v>
      </c>
    </row>
    <row r="52" spans="1:7" x14ac:dyDescent="0.2">
      <c r="A52" s="1" t="s">
        <v>3106</v>
      </c>
    </row>
    <row r="53" spans="1:7" x14ac:dyDescent="0.2">
      <c r="A53" s="1" t="s">
        <v>3107</v>
      </c>
    </row>
    <row r="54" spans="1:7" x14ac:dyDescent="0.2">
      <c r="A54" s="1" t="s">
        <v>3131</v>
      </c>
    </row>
    <row r="55" spans="1:7" x14ac:dyDescent="0.2">
      <c r="A55" s="1" t="s">
        <v>3130</v>
      </c>
    </row>
    <row r="57" spans="1:7" x14ac:dyDescent="0.2">
      <c r="A57" s="1" t="s">
        <v>198</v>
      </c>
    </row>
    <row r="59" spans="1:7" x14ac:dyDescent="0.2">
      <c r="A59" s="4" t="s">
        <v>3132</v>
      </c>
    </row>
    <row r="61" spans="1:7" x14ac:dyDescent="0.2">
      <c r="B61" s="25" t="s">
        <v>12</v>
      </c>
      <c r="C61" s="25" t="s">
        <v>3133</v>
      </c>
      <c r="D61" s="25" t="s">
        <v>459</v>
      </c>
      <c r="E61" s="25" t="s">
        <v>2245</v>
      </c>
      <c r="F61" s="25"/>
      <c r="G61" s="25" t="s">
        <v>461</v>
      </c>
    </row>
    <row r="62" spans="1:7" x14ac:dyDescent="0.2">
      <c r="B62" s="24">
        <v>44105</v>
      </c>
      <c r="E62" s="1">
        <v>-480</v>
      </c>
      <c r="G62" s="1">
        <v>500</v>
      </c>
    </row>
    <row r="63" spans="1:7" x14ac:dyDescent="0.2">
      <c r="B63" s="24">
        <v>44196</v>
      </c>
      <c r="C63" s="1">
        <f>G62*10%</f>
        <v>50</v>
      </c>
      <c r="D63" s="1">
        <v>0</v>
      </c>
      <c r="E63" s="1">
        <f>C63+D63</f>
        <v>50</v>
      </c>
      <c r="G63" s="1">
        <f>G62-D63</f>
        <v>500</v>
      </c>
    </row>
    <row r="64" spans="1:7" x14ac:dyDescent="0.2">
      <c r="B64" s="24" t="s">
        <v>3134</v>
      </c>
      <c r="E64" s="1">
        <v>0</v>
      </c>
      <c r="G64" s="1">
        <f t="shared" ref="G64:G83" si="0">G63-D64</f>
        <v>500</v>
      </c>
    </row>
    <row r="65" spans="1:7" x14ac:dyDescent="0.2">
      <c r="B65" s="24" t="s">
        <v>3135</v>
      </c>
      <c r="E65" s="1">
        <v>0</v>
      </c>
      <c r="G65" s="1">
        <f t="shared" si="0"/>
        <v>500</v>
      </c>
    </row>
    <row r="66" spans="1:7" x14ac:dyDescent="0.2">
      <c r="B66" s="24" t="s">
        <v>3136</v>
      </c>
      <c r="E66" s="1">
        <v>0</v>
      </c>
      <c r="G66" s="1">
        <f t="shared" si="0"/>
        <v>500</v>
      </c>
    </row>
    <row r="67" spans="1:7" ht="17" thickBot="1" x14ac:dyDescent="0.25">
      <c r="B67" s="24">
        <v>44561</v>
      </c>
      <c r="C67" s="1">
        <f>G63*10%</f>
        <v>50</v>
      </c>
      <c r="D67" s="1">
        <v>0</v>
      </c>
      <c r="E67" s="1">
        <f>C67+D67</f>
        <v>50</v>
      </c>
      <c r="G67" s="1">
        <f t="shared" si="0"/>
        <v>500</v>
      </c>
    </row>
    <row r="68" spans="1:7" x14ac:dyDescent="0.2">
      <c r="B68" s="24" t="s">
        <v>3134</v>
      </c>
      <c r="E68" s="467">
        <v>0</v>
      </c>
      <c r="G68" s="1">
        <f t="shared" si="0"/>
        <v>500</v>
      </c>
    </row>
    <row r="69" spans="1:7" x14ac:dyDescent="0.2">
      <c r="B69" s="24" t="s">
        <v>3135</v>
      </c>
      <c r="E69" s="468">
        <v>0</v>
      </c>
      <c r="G69" s="1">
        <f t="shared" si="0"/>
        <v>500</v>
      </c>
    </row>
    <row r="70" spans="1:7" x14ac:dyDescent="0.2">
      <c r="B70" s="24" t="s">
        <v>3136</v>
      </c>
      <c r="E70" s="468">
        <v>0</v>
      </c>
      <c r="G70" s="1">
        <f t="shared" si="0"/>
        <v>500</v>
      </c>
    </row>
    <row r="71" spans="1:7" x14ac:dyDescent="0.2">
      <c r="A71" s="1" t="s">
        <v>207</v>
      </c>
      <c r="B71" s="24">
        <v>44926</v>
      </c>
      <c r="C71" s="1">
        <f>G67*10%</f>
        <v>50</v>
      </c>
      <c r="D71" s="1">
        <f>G62/4</f>
        <v>125</v>
      </c>
      <c r="E71" s="468">
        <f>C71+D71</f>
        <v>175</v>
      </c>
      <c r="G71" s="1">
        <f t="shared" si="0"/>
        <v>375</v>
      </c>
    </row>
    <row r="72" spans="1:7" x14ac:dyDescent="0.2">
      <c r="B72" s="24" t="s">
        <v>3134</v>
      </c>
      <c r="E72" s="468">
        <v>0</v>
      </c>
      <c r="G72" s="1">
        <f t="shared" si="0"/>
        <v>375</v>
      </c>
    </row>
    <row r="73" spans="1:7" x14ac:dyDescent="0.2">
      <c r="B73" s="24" t="s">
        <v>3135</v>
      </c>
      <c r="E73" s="468">
        <v>0</v>
      </c>
      <c r="G73" s="1">
        <f t="shared" si="0"/>
        <v>375</v>
      </c>
    </row>
    <row r="74" spans="1:7" x14ac:dyDescent="0.2">
      <c r="B74" s="24" t="s">
        <v>3136</v>
      </c>
      <c r="E74" s="468">
        <v>0</v>
      </c>
      <c r="G74" s="1">
        <f t="shared" si="0"/>
        <v>375</v>
      </c>
    </row>
    <row r="75" spans="1:7" x14ac:dyDescent="0.2">
      <c r="A75" s="1" t="s">
        <v>208</v>
      </c>
      <c r="B75" s="24">
        <v>45291</v>
      </c>
      <c r="C75" s="1">
        <f>G71*10%</f>
        <v>37.5</v>
      </c>
      <c r="D75" s="1">
        <f>D71</f>
        <v>125</v>
      </c>
      <c r="E75" s="468">
        <f>C75+D75</f>
        <v>162.5</v>
      </c>
      <c r="G75" s="1">
        <f t="shared" si="0"/>
        <v>250</v>
      </c>
    </row>
    <row r="76" spans="1:7" x14ac:dyDescent="0.2">
      <c r="B76" s="24" t="s">
        <v>3134</v>
      </c>
      <c r="E76" s="468">
        <v>0</v>
      </c>
      <c r="G76" s="1">
        <f t="shared" si="0"/>
        <v>250</v>
      </c>
    </row>
    <row r="77" spans="1:7" x14ac:dyDescent="0.2">
      <c r="B77" s="24" t="s">
        <v>3135</v>
      </c>
      <c r="E77" s="468">
        <v>0</v>
      </c>
      <c r="G77" s="1">
        <f t="shared" si="0"/>
        <v>250</v>
      </c>
    </row>
    <row r="78" spans="1:7" x14ac:dyDescent="0.2">
      <c r="B78" s="24" t="s">
        <v>3136</v>
      </c>
      <c r="E78" s="468">
        <v>0</v>
      </c>
      <c r="G78" s="1">
        <f t="shared" si="0"/>
        <v>250</v>
      </c>
    </row>
    <row r="79" spans="1:7" x14ac:dyDescent="0.2">
      <c r="A79" s="1" t="s">
        <v>209</v>
      </c>
      <c r="B79" s="24">
        <v>45657</v>
      </c>
      <c r="C79" s="1">
        <f>G75*10%</f>
        <v>25</v>
      </c>
      <c r="D79" s="1">
        <f>D75</f>
        <v>125</v>
      </c>
      <c r="E79" s="468">
        <f>C79+D79</f>
        <v>150</v>
      </c>
      <c r="G79" s="1">
        <f t="shared" si="0"/>
        <v>125</v>
      </c>
    </row>
    <row r="80" spans="1:7" x14ac:dyDescent="0.2">
      <c r="B80" s="24" t="s">
        <v>3134</v>
      </c>
      <c r="E80" s="468">
        <v>0</v>
      </c>
      <c r="G80" s="1">
        <f t="shared" si="0"/>
        <v>125</v>
      </c>
    </row>
    <row r="81" spans="1:7" x14ac:dyDescent="0.2">
      <c r="B81" s="24" t="s">
        <v>3135</v>
      </c>
      <c r="E81" s="468">
        <v>0</v>
      </c>
      <c r="G81" s="1">
        <f t="shared" si="0"/>
        <v>125</v>
      </c>
    </row>
    <row r="82" spans="1:7" x14ac:dyDescent="0.2">
      <c r="B82" s="24" t="s">
        <v>3136</v>
      </c>
      <c r="E82" s="468">
        <v>0</v>
      </c>
      <c r="G82" s="1">
        <f t="shared" si="0"/>
        <v>125</v>
      </c>
    </row>
    <row r="83" spans="1:7" ht="17" thickBot="1" x14ac:dyDescent="0.25">
      <c r="A83" s="1" t="s">
        <v>210</v>
      </c>
      <c r="B83" s="24">
        <v>46022</v>
      </c>
      <c r="C83" s="1">
        <f>G79*10%</f>
        <v>12.5</v>
      </c>
      <c r="D83" s="1">
        <f>D79</f>
        <v>125</v>
      </c>
      <c r="E83" s="469">
        <f>C83+D83</f>
        <v>137.5</v>
      </c>
      <c r="G83" s="1">
        <f t="shared" si="0"/>
        <v>0</v>
      </c>
    </row>
    <row r="85" spans="1:7" x14ac:dyDescent="0.2">
      <c r="A85" s="1" t="s">
        <v>3137</v>
      </c>
    </row>
    <row r="86" spans="1:7" x14ac:dyDescent="0.2">
      <c r="A86" s="1" t="s">
        <v>3138</v>
      </c>
    </row>
    <row r="87" spans="1:7" x14ac:dyDescent="0.2">
      <c r="A87" s="1" t="s">
        <v>3139</v>
      </c>
    </row>
    <row r="88" spans="1:7" x14ac:dyDescent="0.2">
      <c r="A88" s="1" t="s">
        <v>3140</v>
      </c>
    </row>
    <row r="89" spans="1:7" x14ac:dyDescent="0.2">
      <c r="A89" s="1" t="s">
        <v>3141</v>
      </c>
    </row>
    <row r="91" spans="1:7" x14ac:dyDescent="0.2">
      <c r="A91" s="1" t="s">
        <v>3143</v>
      </c>
      <c r="E91" s="43">
        <f>IRR(E62:E83)</f>
        <v>3.3727159222676661E-2</v>
      </c>
      <c r="F91" s="1" t="s">
        <v>3142</v>
      </c>
    </row>
    <row r="93" spans="1:7" x14ac:dyDescent="0.2">
      <c r="A93" s="1" t="s">
        <v>3144</v>
      </c>
    </row>
    <row r="94" spans="1:7" x14ac:dyDescent="0.2">
      <c r="A94" s="1" t="s">
        <v>3146</v>
      </c>
      <c r="E94" s="36">
        <f>(1+E91)^4-1</f>
        <v>0.14188851990460138</v>
      </c>
      <c r="F94" s="1" t="s">
        <v>3145</v>
      </c>
    </row>
    <row r="96" spans="1:7" x14ac:dyDescent="0.2">
      <c r="A96" s="4" t="s">
        <v>3147</v>
      </c>
    </row>
    <row r="98" spans="1:7" x14ac:dyDescent="0.2">
      <c r="A98" s="1" t="s">
        <v>3148</v>
      </c>
    </row>
    <row r="99" spans="1:7" x14ac:dyDescent="0.2">
      <c r="A99" s="1" t="s">
        <v>3149</v>
      </c>
    </row>
    <row r="100" spans="1:7" x14ac:dyDescent="0.2">
      <c r="F100" s="26">
        <f>NPV(E91,E68:E83)</f>
        <v>459.49813840796912</v>
      </c>
      <c r="G100" s="1" t="s">
        <v>3152</v>
      </c>
    </row>
    <row r="101" spans="1:7" x14ac:dyDescent="0.2">
      <c r="A101" s="1" t="s">
        <v>3150</v>
      </c>
    </row>
    <row r="102" spans="1:7" x14ac:dyDescent="0.2">
      <c r="A102" s="1" t="s">
        <v>3151</v>
      </c>
    </row>
    <row r="104" spans="1:7" x14ac:dyDescent="0.2">
      <c r="A104" s="4" t="s">
        <v>3153</v>
      </c>
    </row>
    <row r="105" spans="1:7" x14ac:dyDescent="0.2">
      <c r="A105" s="4" t="s">
        <v>3154</v>
      </c>
    </row>
    <row r="106" spans="1:7" x14ac:dyDescent="0.2">
      <c r="A106" s="4" t="s">
        <v>3155</v>
      </c>
    </row>
    <row r="108" spans="1:7" x14ac:dyDescent="0.2">
      <c r="A108" s="1" t="s">
        <v>3156</v>
      </c>
    </row>
    <row r="109" spans="1:7" x14ac:dyDescent="0.2">
      <c r="A109" s="1" t="s">
        <v>3157</v>
      </c>
    </row>
    <row r="110" spans="1:7" x14ac:dyDescent="0.2">
      <c r="A110" s="1" t="s">
        <v>3158</v>
      </c>
    </row>
    <row r="111" spans="1:7" x14ac:dyDescent="0.2">
      <c r="A111" s="1" t="s">
        <v>3159</v>
      </c>
    </row>
    <row r="113" spans="2:7" x14ac:dyDescent="0.2">
      <c r="F113" s="4" t="s">
        <v>2906</v>
      </c>
    </row>
    <row r="114" spans="2:7" x14ac:dyDescent="0.2">
      <c r="G114" s="1" t="s">
        <v>3161</v>
      </c>
    </row>
    <row r="119" spans="2:7" x14ac:dyDescent="0.2">
      <c r="F119" s="37" t="s">
        <v>3160</v>
      </c>
    </row>
    <row r="122" spans="2:7" x14ac:dyDescent="0.2">
      <c r="F122" s="1" t="s">
        <v>2918</v>
      </c>
    </row>
    <row r="123" spans="2:7" x14ac:dyDescent="0.2">
      <c r="F123" s="4" t="s">
        <v>2238</v>
      </c>
    </row>
    <row r="125" spans="2:7" x14ac:dyDescent="0.2">
      <c r="B125" s="1" t="s">
        <v>3162</v>
      </c>
    </row>
    <row r="126" spans="2:7" x14ac:dyDescent="0.2">
      <c r="F126" s="28">
        <f>NPV(E91,E68:E83)</f>
        <v>459.49813840796912</v>
      </c>
    </row>
    <row r="127" spans="2:7" x14ac:dyDescent="0.2">
      <c r="B127" s="1" t="s">
        <v>3163</v>
      </c>
    </row>
    <row r="128" spans="2:7" x14ac:dyDescent="0.2">
      <c r="B128" s="1" t="s">
        <v>3164</v>
      </c>
      <c r="F128" s="28">
        <f>F126*(1+E94)^(1/12)</f>
        <v>464.60698180853194</v>
      </c>
    </row>
    <row r="130" spans="1:6" x14ac:dyDescent="0.2">
      <c r="A130" s="1" t="s">
        <v>3165</v>
      </c>
    </row>
    <row r="131" spans="1:6" x14ac:dyDescent="0.2">
      <c r="A131" s="1" t="s">
        <v>3166</v>
      </c>
    </row>
    <row r="133" spans="1:6" x14ac:dyDescent="0.2">
      <c r="A133" s="1" t="s">
        <v>3167</v>
      </c>
      <c r="B133" s="1">
        <v>102</v>
      </c>
    </row>
    <row r="134" spans="1:6" x14ac:dyDescent="0.2">
      <c r="A134" s="1" t="s">
        <v>3168</v>
      </c>
      <c r="B134" s="1">
        <v>109</v>
      </c>
    </row>
    <row r="136" spans="1:6" x14ac:dyDescent="0.2">
      <c r="B136" s="1" t="s">
        <v>3169</v>
      </c>
      <c r="F136" s="26">
        <f>F128*B134/B133</f>
        <v>496.49177467774496</v>
      </c>
    </row>
    <row r="138" spans="1:6" x14ac:dyDescent="0.2">
      <c r="A138" s="4" t="s">
        <v>3131</v>
      </c>
    </row>
    <row r="139" spans="1:6" x14ac:dyDescent="0.2">
      <c r="A139" s="4" t="s">
        <v>3130</v>
      </c>
    </row>
    <row r="141" spans="1:6" x14ac:dyDescent="0.2">
      <c r="A141" s="1" t="s">
        <v>3172</v>
      </c>
    </row>
    <row r="142" spans="1:6" x14ac:dyDescent="0.2">
      <c r="A142" s="1" t="s">
        <v>3170</v>
      </c>
    </row>
    <row r="143" spans="1:6" x14ac:dyDescent="0.2">
      <c r="A143" s="1" t="s">
        <v>3171</v>
      </c>
    </row>
    <row r="144" spans="1:6" x14ac:dyDescent="0.2">
      <c r="A144" s="1" t="s">
        <v>3173</v>
      </c>
    </row>
    <row r="145" spans="1:8" x14ac:dyDescent="0.2">
      <c r="A145" s="1" t="s">
        <v>3174</v>
      </c>
    </row>
    <row r="146" spans="1:8" x14ac:dyDescent="0.2">
      <c r="A146" s="1" t="s">
        <v>3175</v>
      </c>
    </row>
    <row r="147" spans="1:8" x14ac:dyDescent="0.2">
      <c r="A147" s="1" t="s">
        <v>3176</v>
      </c>
    </row>
    <row r="148" spans="1:8" x14ac:dyDescent="0.2">
      <c r="A148" s="1" t="s">
        <v>3177</v>
      </c>
    </row>
    <row r="149" spans="1:8" x14ac:dyDescent="0.2">
      <c r="A149" s="1" t="s">
        <v>3178</v>
      </c>
    </row>
    <row r="152" spans="1:8" x14ac:dyDescent="0.2">
      <c r="A152" s="153" t="s">
        <v>3108</v>
      </c>
      <c r="B152" s="153"/>
      <c r="C152" s="153"/>
      <c r="D152" s="153"/>
      <c r="E152" s="153"/>
      <c r="F152" s="153"/>
      <c r="G152" s="153"/>
      <c r="H152" s="153"/>
    </row>
    <row r="153" spans="1:8" x14ac:dyDescent="0.2">
      <c r="A153" s="1" t="s">
        <v>3214</v>
      </c>
    </row>
    <row r="154" spans="1:8" x14ac:dyDescent="0.2">
      <c r="A154" s="1" t="s">
        <v>3109</v>
      </c>
    </row>
    <row r="155" spans="1:8" x14ac:dyDescent="0.2">
      <c r="A155" s="1" t="s">
        <v>3118</v>
      </c>
    </row>
    <row r="156" spans="1:8" x14ac:dyDescent="0.2">
      <c r="A156" s="1" t="s">
        <v>3119</v>
      </c>
    </row>
    <row r="157" spans="1:8" x14ac:dyDescent="0.2">
      <c r="A157" s="1" t="s">
        <v>3120</v>
      </c>
    </row>
    <row r="158" spans="1:8" x14ac:dyDescent="0.2">
      <c r="A158" s="1" t="s">
        <v>282</v>
      </c>
    </row>
    <row r="159" spans="1:8" x14ac:dyDescent="0.2">
      <c r="A159" s="1" t="s">
        <v>3121</v>
      </c>
    </row>
    <row r="160" spans="1:8" x14ac:dyDescent="0.2">
      <c r="A160" s="1" t="s">
        <v>3196</v>
      </c>
    </row>
    <row r="161" spans="1:4" x14ac:dyDescent="0.2">
      <c r="A161" s="1" t="s">
        <v>3122</v>
      </c>
    </row>
    <row r="162" spans="1:4" x14ac:dyDescent="0.2">
      <c r="A162" s="1" t="s">
        <v>3123</v>
      </c>
    </row>
    <row r="163" spans="1:4" x14ac:dyDescent="0.2">
      <c r="A163" s="1" t="s">
        <v>3124</v>
      </c>
    </row>
    <row r="165" spans="1:4" x14ac:dyDescent="0.2">
      <c r="C165" s="1" t="s">
        <v>3125</v>
      </c>
      <c r="D165" s="1" t="s">
        <v>1449</v>
      </c>
    </row>
    <row r="166" spans="1:4" x14ac:dyDescent="0.2">
      <c r="C166" s="1" t="s">
        <v>116</v>
      </c>
      <c r="D166" s="1">
        <v>2.2000000000000002</v>
      </c>
    </row>
    <row r="167" spans="1:4" x14ac:dyDescent="0.2">
      <c r="C167" s="1" t="s">
        <v>115</v>
      </c>
      <c r="D167" s="1">
        <v>2.8</v>
      </c>
    </row>
    <row r="168" spans="1:4" x14ac:dyDescent="0.2">
      <c r="C168" s="1" t="s">
        <v>114</v>
      </c>
      <c r="D168" s="1">
        <v>3.4</v>
      </c>
    </row>
    <row r="169" spans="1:4" x14ac:dyDescent="0.2">
      <c r="C169" s="1" t="s">
        <v>3126</v>
      </c>
      <c r="D169" s="1">
        <v>3.1</v>
      </c>
    </row>
    <row r="171" spans="1:4" x14ac:dyDescent="0.2">
      <c r="A171" s="1" t="s">
        <v>3127</v>
      </c>
    </row>
    <row r="172" spans="1:4" x14ac:dyDescent="0.2">
      <c r="A172" s="1" t="s">
        <v>3128</v>
      </c>
    </row>
    <row r="173" spans="1:4" x14ac:dyDescent="0.2">
      <c r="A173" s="1" t="s">
        <v>3129</v>
      </c>
    </row>
    <row r="175" spans="1:4" x14ac:dyDescent="0.2">
      <c r="A175" s="1" t="s">
        <v>198</v>
      </c>
    </row>
    <row r="176" spans="1:4" x14ac:dyDescent="0.2">
      <c r="A176" s="1" t="s">
        <v>3179</v>
      </c>
    </row>
    <row r="177" spans="1:6" x14ac:dyDescent="0.2">
      <c r="A177" s="470" t="s">
        <v>3183</v>
      </c>
    </row>
    <row r="178" spans="1:6" x14ac:dyDescent="0.2">
      <c r="A178" s="470" t="s">
        <v>3109</v>
      </c>
    </row>
    <row r="179" spans="1:6" x14ac:dyDescent="0.2">
      <c r="A179" s="470" t="s">
        <v>3118</v>
      </c>
    </row>
    <row r="180" spans="1:6" x14ac:dyDescent="0.2">
      <c r="A180" s="470" t="s">
        <v>3119</v>
      </c>
    </row>
    <row r="181" spans="1:6" x14ac:dyDescent="0.2">
      <c r="A181" s="470" t="s">
        <v>3120</v>
      </c>
    </row>
    <row r="183" spans="1:6" x14ac:dyDescent="0.2">
      <c r="A183" s="4" t="s">
        <v>3121</v>
      </c>
    </row>
    <row r="184" spans="1:6" x14ac:dyDescent="0.2">
      <c r="A184" s="1" t="s">
        <v>3180</v>
      </c>
    </row>
    <row r="186" spans="1:6" x14ac:dyDescent="0.2">
      <c r="B186" s="1" t="s">
        <v>3186</v>
      </c>
      <c r="C186" s="1" t="s">
        <v>3185</v>
      </c>
      <c r="D186" s="1" t="s">
        <v>3184</v>
      </c>
      <c r="E186" s="37" t="s">
        <v>3182</v>
      </c>
      <c r="F186" s="37" t="s">
        <v>3181</v>
      </c>
    </row>
    <row r="187" spans="1:6" x14ac:dyDescent="0.2">
      <c r="E187" s="37" t="s">
        <v>809</v>
      </c>
    </row>
    <row r="188" spans="1:6" x14ac:dyDescent="0.2">
      <c r="E188" s="37">
        <v>0.3</v>
      </c>
    </row>
    <row r="189" spans="1:6" x14ac:dyDescent="0.2">
      <c r="C189" s="1" t="s">
        <v>940</v>
      </c>
    </row>
    <row r="191" spans="1:6" x14ac:dyDescent="0.2">
      <c r="A191" s="1" t="s">
        <v>3187</v>
      </c>
    </row>
    <row r="192" spans="1:6" x14ac:dyDescent="0.2">
      <c r="C192" s="615">
        <f>0.3/(17.8%-5%)</f>
        <v>2.34375</v>
      </c>
    </row>
    <row r="193" spans="1:3" x14ac:dyDescent="0.2">
      <c r="C193" s="615"/>
    </row>
    <row r="195" spans="1:3" x14ac:dyDescent="0.2">
      <c r="A195" s="1" t="s">
        <v>3188</v>
      </c>
    </row>
    <row r="196" spans="1:3" x14ac:dyDescent="0.2">
      <c r="A196" s="1" t="s">
        <v>3189</v>
      </c>
    </row>
    <row r="198" spans="1:3" x14ac:dyDescent="0.2">
      <c r="B198" s="466">
        <f>5%+8%*1.6</f>
        <v>0.17799999999999999</v>
      </c>
    </row>
    <row r="200" spans="1:3" x14ac:dyDescent="0.2">
      <c r="A200" s="1" t="s">
        <v>3190</v>
      </c>
    </row>
    <row r="201" spans="1:3" x14ac:dyDescent="0.2">
      <c r="A201" s="1" t="s">
        <v>3191</v>
      </c>
    </row>
    <row r="202" spans="1:3" x14ac:dyDescent="0.2">
      <c r="A202" s="1" t="s">
        <v>3192</v>
      </c>
    </row>
    <row r="204" spans="1:3" x14ac:dyDescent="0.2">
      <c r="A204" s="4" t="s">
        <v>3193</v>
      </c>
    </row>
    <row r="205" spans="1:3" x14ac:dyDescent="0.2">
      <c r="A205" s="1" t="s">
        <v>3194</v>
      </c>
    </row>
    <row r="206" spans="1:3" x14ac:dyDescent="0.2">
      <c r="A206" s="1" t="s">
        <v>3195</v>
      </c>
    </row>
    <row r="208" spans="1:3" x14ac:dyDescent="0.2">
      <c r="A208" s="4" t="s">
        <v>3196</v>
      </c>
    </row>
    <row r="209" spans="1:6" x14ac:dyDescent="0.2">
      <c r="A209" s="4" t="s">
        <v>3122</v>
      </c>
    </row>
    <row r="211" spans="1:6" x14ac:dyDescent="0.2">
      <c r="A211" s="1" t="s">
        <v>3197</v>
      </c>
    </row>
    <row r="212" spans="1:6" x14ac:dyDescent="0.2">
      <c r="A212" s="1" t="s">
        <v>3198</v>
      </c>
      <c r="F212" s="1" t="s">
        <v>1011</v>
      </c>
    </row>
    <row r="213" spans="1:6" x14ac:dyDescent="0.2">
      <c r="A213" s="1" t="s">
        <v>3199</v>
      </c>
      <c r="F213" s="1" t="s">
        <v>3200</v>
      </c>
    </row>
    <row r="215" spans="1:6" x14ac:dyDescent="0.2">
      <c r="A215" s="1" t="s">
        <v>3202</v>
      </c>
      <c r="F215" s="1" t="s">
        <v>3201</v>
      </c>
    </row>
    <row r="217" spans="1:6" x14ac:dyDescent="0.2">
      <c r="A217" s="1" t="s">
        <v>3203</v>
      </c>
    </row>
    <row r="218" spans="1:6" x14ac:dyDescent="0.2">
      <c r="A218" s="1" t="s">
        <v>3204</v>
      </c>
    </row>
    <row r="219" spans="1:6" x14ac:dyDescent="0.2">
      <c r="A219" s="1" t="s">
        <v>3205</v>
      </c>
    </row>
    <row r="220" spans="1:6" x14ac:dyDescent="0.2">
      <c r="A220" s="1" t="s">
        <v>3206</v>
      </c>
    </row>
    <row r="223" spans="1:6" x14ac:dyDescent="0.2">
      <c r="B223" s="1" t="s">
        <v>3186</v>
      </c>
      <c r="C223" s="1" t="s">
        <v>3185</v>
      </c>
      <c r="D223" s="1" t="s">
        <v>3184</v>
      </c>
      <c r="E223" s="37" t="s">
        <v>3182</v>
      </c>
      <c r="F223" s="37" t="s">
        <v>3181</v>
      </c>
    </row>
    <row r="224" spans="1:6" x14ac:dyDescent="0.2">
      <c r="E224" s="37" t="s">
        <v>809</v>
      </c>
    </row>
    <row r="225" spans="1:7" x14ac:dyDescent="0.2">
      <c r="E225" s="342">
        <v>0.31</v>
      </c>
    </row>
    <row r="226" spans="1:7" x14ac:dyDescent="0.2">
      <c r="C226" s="1" t="s">
        <v>3207</v>
      </c>
    </row>
    <row r="228" spans="1:7" x14ac:dyDescent="0.2">
      <c r="A228" s="1" t="s">
        <v>3187</v>
      </c>
    </row>
    <row r="229" spans="1:7" x14ac:dyDescent="0.2">
      <c r="C229" s="616">
        <f>0.31/17.8%</f>
        <v>1.741573033707865</v>
      </c>
    </row>
    <row r="230" spans="1:7" x14ac:dyDescent="0.2">
      <c r="C230" s="616"/>
    </row>
    <row r="232" spans="1:7" x14ac:dyDescent="0.2">
      <c r="A232" s="1" t="s">
        <v>3208</v>
      </c>
      <c r="E232" s="122">
        <f>C192</f>
        <v>2.34375</v>
      </c>
      <c r="G232" s="1" t="s">
        <v>3209</v>
      </c>
    </row>
    <row r="233" spans="1:7" x14ac:dyDescent="0.2">
      <c r="A233" s="1" t="s">
        <v>3210</v>
      </c>
      <c r="E233" s="122">
        <f>C229</f>
        <v>1.741573033707865</v>
      </c>
      <c r="G233" s="1" t="s">
        <v>3211</v>
      </c>
    </row>
    <row r="234" spans="1:7" x14ac:dyDescent="0.2">
      <c r="A234" s="1" t="s">
        <v>3212</v>
      </c>
      <c r="E234" s="161">
        <f>E232-E233</f>
        <v>0.60217696629213502</v>
      </c>
      <c r="G234" s="1" t="s">
        <v>3213</v>
      </c>
    </row>
    <row r="238" spans="1:7" x14ac:dyDescent="0.2">
      <c r="A238" s="4" t="s">
        <v>3215</v>
      </c>
    </row>
    <row r="239" spans="1:7" x14ac:dyDescent="0.2">
      <c r="A239" s="4" t="s">
        <v>3124</v>
      </c>
    </row>
    <row r="241" spans="1:8" x14ac:dyDescent="0.2">
      <c r="A241" s="470"/>
      <c r="B241" s="470"/>
      <c r="C241" s="470" t="s">
        <v>3125</v>
      </c>
      <c r="D241" s="470" t="s">
        <v>1449</v>
      </c>
      <c r="E241" s="470"/>
      <c r="F241" s="470"/>
      <c r="G241" s="470"/>
      <c r="H241" s="470"/>
    </row>
    <row r="242" spans="1:8" x14ac:dyDescent="0.2">
      <c r="A242" s="470"/>
      <c r="B242" s="470"/>
      <c r="C242" s="470" t="s">
        <v>116</v>
      </c>
      <c r="D242" s="470">
        <v>2.2000000000000002</v>
      </c>
      <c r="E242" s="470"/>
      <c r="F242" s="470"/>
      <c r="G242" s="470"/>
      <c r="H242" s="470"/>
    </row>
    <row r="243" spans="1:8" x14ac:dyDescent="0.2">
      <c r="A243" s="470"/>
      <c r="B243" s="470"/>
      <c r="C243" s="470" t="s">
        <v>115</v>
      </c>
      <c r="D243" s="470">
        <v>2.8</v>
      </c>
      <c r="E243" s="470"/>
      <c r="F243" s="470"/>
      <c r="G243" s="470"/>
      <c r="H243" s="470"/>
    </row>
    <row r="244" spans="1:8" x14ac:dyDescent="0.2">
      <c r="A244" s="470"/>
      <c r="B244" s="470"/>
      <c r="C244" s="470" t="s">
        <v>114</v>
      </c>
      <c r="D244" s="470">
        <v>3.4</v>
      </c>
      <c r="E244" s="470"/>
      <c r="F244" s="470"/>
      <c r="G244" s="470"/>
      <c r="H244" s="470"/>
    </row>
    <row r="245" spans="1:8" x14ac:dyDescent="0.2">
      <c r="A245" s="470"/>
      <c r="B245" s="470"/>
      <c r="C245" s="470" t="s">
        <v>3126</v>
      </c>
      <c r="D245" s="470">
        <v>3.1</v>
      </c>
      <c r="E245" s="470"/>
      <c r="F245" s="470"/>
      <c r="G245" s="470"/>
      <c r="H245" s="470"/>
    </row>
    <row r="246" spans="1:8" x14ac:dyDescent="0.2">
      <c r="A246" s="470"/>
      <c r="B246" s="470"/>
      <c r="C246" s="470"/>
      <c r="D246" s="470"/>
      <c r="E246" s="470"/>
      <c r="F246" s="470"/>
      <c r="G246" s="470"/>
      <c r="H246" s="470"/>
    </row>
    <row r="247" spans="1:8" x14ac:dyDescent="0.2">
      <c r="A247" s="470" t="s">
        <v>3127</v>
      </c>
      <c r="B247" s="470"/>
      <c r="C247" s="470"/>
      <c r="D247" s="470"/>
      <c r="E247" s="470"/>
      <c r="F247" s="470"/>
      <c r="G247" s="470"/>
      <c r="H247" s="470"/>
    </row>
    <row r="248" spans="1:8" x14ac:dyDescent="0.2">
      <c r="A248" s="470" t="s">
        <v>3128</v>
      </c>
      <c r="B248" s="470"/>
      <c r="C248" s="470"/>
      <c r="D248" s="470"/>
      <c r="E248" s="470"/>
      <c r="F248" s="470"/>
      <c r="G248" s="470"/>
      <c r="H248" s="470"/>
    </row>
    <row r="249" spans="1:8" x14ac:dyDescent="0.2">
      <c r="A249" s="470" t="s">
        <v>3129</v>
      </c>
      <c r="B249" s="470"/>
      <c r="C249" s="470"/>
      <c r="D249" s="470"/>
      <c r="E249" s="470"/>
      <c r="F249" s="470"/>
      <c r="G249" s="470"/>
      <c r="H249" s="470"/>
    </row>
    <row r="251" spans="1:8" x14ac:dyDescent="0.2">
      <c r="A251" s="1" t="s">
        <v>3216</v>
      </c>
    </row>
    <row r="253" spans="1:8" x14ac:dyDescent="0.2">
      <c r="A253" s="1" t="s">
        <v>3217</v>
      </c>
    </row>
    <row r="254" spans="1:8" x14ac:dyDescent="0.2">
      <c r="A254" s="1" t="s">
        <v>3218</v>
      </c>
    </row>
    <row r="255" spans="1:8" x14ac:dyDescent="0.2">
      <c r="A255" s="1" t="s">
        <v>3219</v>
      </c>
    </row>
    <row r="256" spans="1:8" x14ac:dyDescent="0.2">
      <c r="A256" s="1" t="s">
        <v>3220</v>
      </c>
    </row>
    <row r="257" spans="1:4" x14ac:dyDescent="0.2">
      <c r="A257" s="1" t="s">
        <v>3221</v>
      </c>
    </row>
    <row r="258" spans="1:4" x14ac:dyDescent="0.2">
      <c r="A258" s="1" t="s">
        <v>3222</v>
      </c>
    </row>
    <row r="260" spans="1:4" x14ac:dyDescent="0.2">
      <c r="A260" s="1" t="s">
        <v>3223</v>
      </c>
    </row>
    <row r="262" spans="1:4" x14ac:dyDescent="0.2">
      <c r="C262" s="1" t="s">
        <v>3224</v>
      </c>
      <c r="D262" s="1">
        <f>AVERAGE(D242:D245)</f>
        <v>2.875</v>
      </c>
    </row>
    <row r="263" spans="1:4" x14ac:dyDescent="0.2">
      <c r="C263" s="1" t="s">
        <v>1847</v>
      </c>
      <c r="D263" s="11">
        <f>5%+(13%-5%)*D262</f>
        <v>0.28000000000000003</v>
      </c>
    </row>
    <row r="265" spans="1:4" x14ac:dyDescent="0.2">
      <c r="A265" s="1" t="s">
        <v>3225</v>
      </c>
    </row>
    <row r="266" spans="1:4" x14ac:dyDescent="0.2">
      <c r="C266" s="1" t="s">
        <v>35</v>
      </c>
      <c r="D266" s="1" t="s">
        <v>52</v>
      </c>
    </row>
    <row r="267" spans="1:4" x14ac:dyDescent="0.2">
      <c r="C267" s="1">
        <v>0</v>
      </c>
      <c r="D267" s="1">
        <v>-12</v>
      </c>
    </row>
    <row r="268" spans="1:4" x14ac:dyDescent="0.2">
      <c r="C268" s="1">
        <v>1</v>
      </c>
      <c r="D268" s="1">
        <v>4</v>
      </c>
    </row>
    <row r="269" spans="1:4" x14ac:dyDescent="0.2">
      <c r="C269" s="1">
        <v>2</v>
      </c>
      <c r="D269" s="1">
        <v>4</v>
      </c>
    </row>
    <row r="270" spans="1:4" x14ac:dyDescent="0.2">
      <c r="C270" s="1">
        <v>3</v>
      </c>
      <c r="D270" s="1">
        <v>4</v>
      </c>
    </row>
    <row r="271" spans="1:4" x14ac:dyDescent="0.2">
      <c r="C271" s="1">
        <v>4</v>
      </c>
      <c r="D271" s="1">
        <v>4</v>
      </c>
    </row>
    <row r="273" spans="4:6" x14ac:dyDescent="0.2">
      <c r="D273" s="122">
        <f>NPV(D263,D268:D271)+D267</f>
        <v>-3.0361289978027344</v>
      </c>
      <c r="E273" s="1" t="s">
        <v>1849</v>
      </c>
      <c r="F273" s="1" t="s">
        <v>3226</v>
      </c>
    </row>
    <row r="274" spans="4:6" x14ac:dyDescent="0.2">
      <c r="D274" s="43">
        <f>IRR(D267:D271)</f>
        <v>0.12589832496236397</v>
      </c>
      <c r="E274" s="1" t="s">
        <v>3142</v>
      </c>
      <c r="F274" s="1" t="s">
        <v>3227</v>
      </c>
    </row>
    <row r="471" spans="10:14" x14ac:dyDescent="0.2">
      <c r="J471" s="37"/>
      <c r="N471" s="37"/>
    </row>
    <row r="472" spans="10:14" x14ac:dyDescent="0.2">
      <c r="J472" s="37"/>
      <c r="N472" s="37"/>
    </row>
  </sheetData>
  <mergeCells count="2">
    <mergeCell ref="C192:C193"/>
    <mergeCell ref="C229:C230"/>
  </mergeCells>
  <pageMargins left="0.7" right="0.7" top="0.75" bottom="0.75" header="0.3" footer="0.3"/>
  <pageSetup paperSize="9"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851D12-5EC4-4A46-9D59-D350BF73F19D}">
  <dimension ref="A1:K519"/>
  <sheetViews>
    <sheetView rightToLeft="1" topLeftCell="A169" zoomScale="236" zoomScaleNormal="400" workbookViewId="0">
      <selection activeCell="H181" sqref="H181"/>
    </sheetView>
  </sheetViews>
  <sheetFormatPr baseColWidth="10" defaultColWidth="10.83203125" defaultRowHeight="16" x14ac:dyDescent="0.2"/>
  <cols>
    <col min="1" max="1" width="10.83203125" style="1"/>
    <col min="2" max="2" width="12.5" style="1" bestFit="1" customWidth="1"/>
    <col min="3" max="16384" width="10.83203125" style="1"/>
  </cols>
  <sheetData>
    <row r="1" spans="1:8" x14ac:dyDescent="0.2">
      <c r="A1" s="3" t="s">
        <v>16</v>
      </c>
      <c r="B1" s="2"/>
      <c r="C1" s="2"/>
      <c r="D1" s="2"/>
      <c r="E1" s="2"/>
      <c r="F1" s="2"/>
      <c r="G1" s="2"/>
      <c r="H1" s="46">
        <v>45600</v>
      </c>
    </row>
    <row r="3" spans="1:8" x14ac:dyDescent="0.2">
      <c r="A3" s="47" t="s">
        <v>17</v>
      </c>
      <c r="B3" s="48"/>
      <c r="C3" s="48"/>
      <c r="D3" s="48"/>
      <c r="E3" s="48"/>
      <c r="F3" s="48"/>
      <c r="G3" s="48"/>
      <c r="H3" s="48"/>
    </row>
    <row r="4" spans="1:8" x14ac:dyDescent="0.2">
      <c r="A4" s="4"/>
    </row>
    <row r="5" spans="1:8" x14ac:dyDescent="0.2">
      <c r="A5" s="1" t="s">
        <v>18</v>
      </c>
    </row>
    <row r="6" spans="1:8" x14ac:dyDescent="0.2">
      <c r="B6" s="1" t="s">
        <v>19</v>
      </c>
    </row>
    <row r="7" spans="1:8" x14ac:dyDescent="0.2">
      <c r="B7" s="1" t="s">
        <v>20</v>
      </c>
    </row>
    <row r="8" spans="1:8" x14ac:dyDescent="0.2">
      <c r="B8" s="1" t="s">
        <v>21</v>
      </c>
    </row>
    <row r="9" spans="1:8" x14ac:dyDescent="0.2">
      <c r="B9" s="1" t="s">
        <v>22</v>
      </c>
    </row>
    <row r="10" spans="1:8" x14ac:dyDescent="0.2">
      <c r="B10" s="1" t="s">
        <v>23</v>
      </c>
    </row>
    <row r="11" spans="1:8" x14ac:dyDescent="0.2">
      <c r="B11" s="1" t="s">
        <v>24</v>
      </c>
    </row>
    <row r="12" spans="1:8" x14ac:dyDescent="0.2">
      <c r="B12" s="1" t="s">
        <v>25</v>
      </c>
    </row>
    <row r="13" spans="1:8" x14ac:dyDescent="0.2">
      <c r="B13" s="1" t="s">
        <v>26</v>
      </c>
    </row>
    <row r="15" spans="1:8" x14ac:dyDescent="0.2">
      <c r="A15" s="49" t="s">
        <v>27</v>
      </c>
      <c r="B15" s="50"/>
      <c r="C15" s="50"/>
      <c r="D15" s="50"/>
      <c r="E15" s="50"/>
      <c r="F15" s="50"/>
      <c r="G15" s="50"/>
      <c r="H15" s="50"/>
    </row>
    <row r="16" spans="1:8" x14ac:dyDescent="0.2">
      <c r="A16" s="1" t="s">
        <v>2176</v>
      </c>
    </row>
    <row r="17" spans="1:10" x14ac:dyDescent="0.2">
      <c r="A17" s="1" t="s">
        <v>28</v>
      </c>
    </row>
    <row r="19" spans="1:10" x14ac:dyDescent="0.2">
      <c r="A19" s="1" t="s">
        <v>2177</v>
      </c>
    </row>
    <row r="20" spans="1:10" x14ac:dyDescent="0.2">
      <c r="A20" s="1" t="s">
        <v>29</v>
      </c>
    </row>
    <row r="22" spans="1:10" x14ac:dyDescent="0.2">
      <c r="A22" s="1" t="s">
        <v>30</v>
      </c>
    </row>
    <row r="23" spans="1:10" x14ac:dyDescent="0.2">
      <c r="A23" s="1" t="s">
        <v>31</v>
      </c>
    </row>
    <row r="25" spans="1:10" ht="17" thickBot="1" x14ac:dyDescent="0.25">
      <c r="A25" s="49" t="s">
        <v>3229</v>
      </c>
      <c r="B25" s="50"/>
      <c r="C25" s="50"/>
      <c r="D25" s="50"/>
      <c r="E25" s="50"/>
      <c r="F25" s="50"/>
      <c r="G25" s="50"/>
      <c r="H25" s="50"/>
    </row>
    <row r="26" spans="1:10" x14ac:dyDescent="0.2">
      <c r="A26" s="1" t="s">
        <v>2178</v>
      </c>
      <c r="G26" s="16" t="s">
        <v>2179</v>
      </c>
      <c r="H26" s="17"/>
      <c r="I26" s="17"/>
      <c r="J26" s="18"/>
    </row>
    <row r="27" spans="1:10" x14ac:dyDescent="0.2">
      <c r="A27" s="1" t="s">
        <v>3230</v>
      </c>
      <c r="G27" s="19" t="s">
        <v>2180</v>
      </c>
      <c r="J27" s="20"/>
    </row>
    <row r="28" spans="1:10" x14ac:dyDescent="0.2">
      <c r="A28" s="1" t="s">
        <v>2182</v>
      </c>
      <c r="G28" s="19" t="s">
        <v>2181</v>
      </c>
      <c r="J28" s="20"/>
    </row>
    <row r="29" spans="1:10" x14ac:dyDescent="0.2">
      <c r="A29" s="1" t="s">
        <v>32</v>
      </c>
      <c r="G29" s="19"/>
      <c r="J29" s="20"/>
    </row>
    <row r="30" spans="1:10" x14ac:dyDescent="0.2">
      <c r="A30" s="4" t="s">
        <v>33</v>
      </c>
      <c r="G30" s="19" t="s">
        <v>2183</v>
      </c>
      <c r="J30" s="20"/>
    </row>
    <row r="31" spans="1:10" ht="17" thickBot="1" x14ac:dyDescent="0.25">
      <c r="G31" s="21" t="s">
        <v>2184</v>
      </c>
      <c r="H31" s="22"/>
      <c r="I31" s="22"/>
      <c r="J31" s="23"/>
    </row>
    <row r="32" spans="1:10" x14ac:dyDescent="0.2">
      <c r="A32" s="51" t="s">
        <v>34</v>
      </c>
      <c r="B32" s="52"/>
      <c r="C32" s="52"/>
      <c r="D32" s="52"/>
      <c r="E32" s="52"/>
      <c r="F32" s="52"/>
      <c r="G32" s="52"/>
      <c r="H32" s="52"/>
    </row>
    <row r="34" spans="1:10" x14ac:dyDescent="0.2">
      <c r="B34" s="25" t="s">
        <v>35</v>
      </c>
      <c r="C34" s="25" t="s">
        <v>36</v>
      </c>
      <c r="D34" s="323" t="s">
        <v>37</v>
      </c>
      <c r="E34" s="323" t="s">
        <v>38</v>
      </c>
    </row>
    <row r="35" spans="1:10" x14ac:dyDescent="0.2">
      <c r="A35" s="1" t="s">
        <v>39</v>
      </c>
      <c r="B35" s="8">
        <v>0</v>
      </c>
      <c r="C35" s="7"/>
      <c r="D35" s="7"/>
      <c r="E35" s="8"/>
      <c r="F35" s="7"/>
      <c r="G35" s="7"/>
      <c r="H35" s="7"/>
      <c r="I35" s="7"/>
      <c r="J35" s="7"/>
    </row>
    <row r="36" spans="1:10" x14ac:dyDescent="0.2">
      <c r="A36" s="8"/>
      <c r="B36" s="8">
        <v>1</v>
      </c>
      <c r="C36" s="8">
        <v>5</v>
      </c>
      <c r="D36" s="7"/>
      <c r="E36" s="8">
        <f t="shared" ref="E36:E41" si="0">C36+D36</f>
        <v>5</v>
      </c>
      <c r="F36" s="59" t="s">
        <v>3231</v>
      </c>
      <c r="G36" s="7" t="s">
        <v>40</v>
      </c>
      <c r="H36" s="7"/>
      <c r="I36" s="7"/>
      <c r="J36" s="7"/>
    </row>
    <row r="37" spans="1:10" x14ac:dyDescent="0.2">
      <c r="A37" s="8"/>
      <c r="B37" s="8">
        <v>2</v>
      </c>
      <c r="C37" s="8">
        <v>5</v>
      </c>
      <c r="D37" s="7"/>
      <c r="E37" s="8">
        <f t="shared" si="0"/>
        <v>5</v>
      </c>
      <c r="F37" s="7"/>
      <c r="G37" s="7"/>
      <c r="H37" s="7"/>
      <c r="I37" s="7"/>
      <c r="J37" s="7"/>
    </row>
    <row r="38" spans="1:10" x14ac:dyDescent="0.2">
      <c r="A38" s="8"/>
      <c r="B38" s="8">
        <v>3</v>
      </c>
      <c r="C38" s="8">
        <v>5</v>
      </c>
      <c r="D38" s="7"/>
      <c r="E38" s="8">
        <f t="shared" si="0"/>
        <v>5</v>
      </c>
      <c r="F38" s="7"/>
      <c r="G38" s="7"/>
      <c r="H38" s="7"/>
      <c r="I38" s="7"/>
      <c r="J38" s="7"/>
    </row>
    <row r="39" spans="1:10" x14ac:dyDescent="0.2">
      <c r="A39" s="8"/>
      <c r="B39" s="8">
        <v>4</v>
      </c>
      <c r="C39" s="8">
        <v>5</v>
      </c>
      <c r="D39" s="7"/>
      <c r="E39" s="8">
        <f t="shared" si="0"/>
        <v>5</v>
      </c>
      <c r="F39" s="7"/>
      <c r="G39" s="7"/>
      <c r="H39" s="7"/>
      <c r="I39" s="7"/>
      <c r="J39" s="7"/>
    </row>
    <row r="40" spans="1:10" x14ac:dyDescent="0.2">
      <c r="A40" s="8"/>
      <c r="B40" s="8">
        <v>5</v>
      </c>
      <c r="C40" s="8">
        <v>5</v>
      </c>
      <c r="D40" s="7"/>
      <c r="E40" s="8">
        <f t="shared" si="0"/>
        <v>5</v>
      </c>
      <c r="F40" s="7"/>
      <c r="G40" s="7"/>
      <c r="H40" s="7"/>
      <c r="I40" s="7"/>
      <c r="J40" s="7"/>
    </row>
    <row r="41" spans="1:10" x14ac:dyDescent="0.2">
      <c r="B41" s="8">
        <v>6</v>
      </c>
      <c r="C41" s="8">
        <v>5</v>
      </c>
      <c r="D41" s="8">
        <v>100</v>
      </c>
      <c r="E41" s="8">
        <f t="shared" si="0"/>
        <v>105</v>
      </c>
      <c r="F41" s="7" t="s">
        <v>41</v>
      </c>
      <c r="G41" s="7"/>
      <c r="H41" s="7"/>
      <c r="I41" s="7"/>
      <c r="J41" s="7"/>
    </row>
    <row r="43" spans="1:10" x14ac:dyDescent="0.2">
      <c r="A43" s="1" t="s">
        <v>42</v>
      </c>
    </row>
    <row r="44" spans="1:10" x14ac:dyDescent="0.2">
      <c r="A44" s="1" t="s">
        <v>43</v>
      </c>
    </row>
    <row r="46" spans="1:10" x14ac:dyDescent="0.2">
      <c r="A46" s="51" t="s">
        <v>44</v>
      </c>
      <c r="B46" s="52"/>
      <c r="C46" s="52"/>
      <c r="D46" s="52"/>
      <c r="E46" s="52"/>
      <c r="F46" s="52"/>
      <c r="G46" s="52"/>
      <c r="H46" s="52"/>
    </row>
    <row r="48" spans="1:10" x14ac:dyDescent="0.2">
      <c r="A48" s="1" t="s">
        <v>45</v>
      </c>
    </row>
    <row r="49" spans="1:8" x14ac:dyDescent="0.2">
      <c r="A49" s="1" t="s">
        <v>46</v>
      </c>
    </row>
    <row r="50" spans="1:8" x14ac:dyDescent="0.2">
      <c r="A50" s="1" t="s">
        <v>47</v>
      </c>
    </row>
    <row r="51" spans="1:8" x14ac:dyDescent="0.2">
      <c r="A51" s="1" t="s">
        <v>48</v>
      </c>
    </row>
    <row r="52" spans="1:8" ht="17" thickBot="1" x14ac:dyDescent="0.25"/>
    <row r="53" spans="1:8" x14ac:dyDescent="0.2">
      <c r="A53" s="16" t="s">
        <v>49</v>
      </c>
      <c r="B53" s="17" t="s">
        <v>50</v>
      </c>
      <c r="C53" s="17"/>
      <c r="D53" s="17"/>
      <c r="E53" s="17"/>
      <c r="F53" s="17"/>
      <c r="G53" s="324">
        <v>0.05</v>
      </c>
      <c r="H53" s="18"/>
    </row>
    <row r="54" spans="1:8" ht="17" thickBot="1" x14ac:dyDescent="0.25">
      <c r="A54" s="21"/>
      <c r="B54" s="22" t="s">
        <v>51</v>
      </c>
      <c r="C54" s="22"/>
      <c r="D54" s="22"/>
      <c r="E54" s="22"/>
      <c r="F54" s="22"/>
      <c r="G54" s="308">
        <v>7.0000000000000007E-2</v>
      </c>
      <c r="H54" s="23"/>
    </row>
    <row r="56" spans="1:8" x14ac:dyDescent="0.2">
      <c r="B56" s="25" t="s">
        <v>35</v>
      </c>
      <c r="C56" s="25" t="s">
        <v>52</v>
      </c>
    </row>
    <row r="57" spans="1:8" x14ac:dyDescent="0.2">
      <c r="B57" s="8">
        <v>0</v>
      </c>
      <c r="C57" s="66">
        <f>NPV(7%,C58:C63)</f>
        <v>90.466920680471759</v>
      </c>
      <c r="D57" s="53" t="s">
        <v>54</v>
      </c>
    </row>
    <row r="58" spans="1:8" x14ac:dyDescent="0.2">
      <c r="B58" s="8">
        <v>1</v>
      </c>
      <c r="C58" s="62">
        <v>5</v>
      </c>
    </row>
    <row r="59" spans="1:8" x14ac:dyDescent="0.2">
      <c r="B59" s="8">
        <v>2</v>
      </c>
      <c r="C59" s="62">
        <v>5</v>
      </c>
    </row>
    <row r="60" spans="1:8" x14ac:dyDescent="0.2">
      <c r="B60" s="8">
        <v>3</v>
      </c>
      <c r="C60" s="62">
        <v>5</v>
      </c>
    </row>
    <row r="61" spans="1:8" x14ac:dyDescent="0.2">
      <c r="B61" s="8">
        <v>4</v>
      </c>
      <c r="C61" s="62">
        <v>5</v>
      </c>
    </row>
    <row r="62" spans="1:8" x14ac:dyDescent="0.2">
      <c r="B62" s="8">
        <v>5</v>
      </c>
      <c r="C62" s="62">
        <v>5</v>
      </c>
    </row>
    <row r="63" spans="1:8" x14ac:dyDescent="0.2">
      <c r="B63" s="8">
        <v>6</v>
      </c>
      <c r="C63" s="62">
        <v>105</v>
      </c>
    </row>
    <row r="65" spans="2:7" x14ac:dyDescent="0.2">
      <c r="B65" s="1" t="s">
        <v>2185</v>
      </c>
    </row>
    <row r="67" spans="2:7" x14ac:dyDescent="0.2">
      <c r="B67" s="1" t="s">
        <v>2195</v>
      </c>
      <c r="E67" s="40">
        <v>7.0000000000000007E-2</v>
      </c>
      <c r="F67" s="1" t="s">
        <v>117</v>
      </c>
      <c r="G67" s="1" t="s">
        <v>2188</v>
      </c>
    </row>
    <row r="68" spans="2:7" x14ac:dyDescent="0.2">
      <c r="E68" s="37">
        <v>6</v>
      </c>
      <c r="F68" s="1" t="s">
        <v>119</v>
      </c>
      <c r="G68" s="1" t="s">
        <v>2189</v>
      </c>
    </row>
    <row r="69" spans="2:7" x14ac:dyDescent="0.2">
      <c r="E69" s="37">
        <v>5</v>
      </c>
      <c r="F69" s="1" t="s">
        <v>123</v>
      </c>
      <c r="G69" s="1" t="s">
        <v>2190</v>
      </c>
    </row>
    <row r="70" spans="2:7" ht="17" thickBot="1" x14ac:dyDescent="0.25">
      <c r="E70" s="37">
        <v>100</v>
      </c>
      <c r="F70" s="1" t="s">
        <v>125</v>
      </c>
      <c r="G70" s="1" t="s">
        <v>2191</v>
      </c>
    </row>
    <row r="71" spans="2:7" ht="17" thickBot="1" x14ac:dyDescent="0.25">
      <c r="E71" s="326">
        <f>PV(E67,E68,E69,E70)</f>
        <v>-90.466920680471773</v>
      </c>
      <c r="F71" s="1" t="s">
        <v>2186</v>
      </c>
      <c r="G71" s="1" t="s">
        <v>2187</v>
      </c>
    </row>
    <row r="73" spans="2:7" x14ac:dyDescent="0.2">
      <c r="B73" s="4" t="s">
        <v>2192</v>
      </c>
    </row>
    <row r="74" spans="2:7" x14ac:dyDescent="0.2">
      <c r="B74" s="1" t="s">
        <v>2193</v>
      </c>
    </row>
    <row r="75" spans="2:7" x14ac:dyDescent="0.2">
      <c r="B75" s="1" t="s">
        <v>2194</v>
      </c>
    </row>
    <row r="77" spans="2:7" x14ac:dyDescent="0.2">
      <c r="B77" s="1" t="s">
        <v>56</v>
      </c>
      <c r="C77" s="1" t="s">
        <v>2196</v>
      </c>
    </row>
    <row r="78" spans="2:7" x14ac:dyDescent="0.2">
      <c r="C78" s="1" t="s">
        <v>2197</v>
      </c>
    </row>
    <row r="79" spans="2:7" x14ac:dyDescent="0.2">
      <c r="C79" s="1" t="s">
        <v>2198</v>
      </c>
    </row>
    <row r="80" spans="2:7" x14ac:dyDescent="0.2">
      <c r="C80" s="1" t="s">
        <v>2199</v>
      </c>
    </row>
    <row r="82" spans="1:8" x14ac:dyDescent="0.2">
      <c r="A82" s="49" t="s">
        <v>2200</v>
      </c>
      <c r="B82" s="50"/>
      <c r="C82" s="50"/>
      <c r="D82" s="50"/>
      <c r="E82" s="50"/>
      <c r="F82" s="50"/>
      <c r="G82" s="50"/>
      <c r="H82" s="50"/>
    </row>
    <row r="84" spans="1:8" x14ac:dyDescent="0.2">
      <c r="A84" s="1" t="s">
        <v>2201</v>
      </c>
    </row>
    <row r="85" spans="1:8" x14ac:dyDescent="0.2">
      <c r="A85" s="1" t="s">
        <v>57</v>
      </c>
    </row>
    <row r="86" spans="1:8" x14ac:dyDescent="0.2">
      <c r="A86" s="1" t="s">
        <v>58</v>
      </c>
    </row>
    <row r="87" spans="1:8" x14ac:dyDescent="0.2">
      <c r="A87" s="4" t="s">
        <v>59</v>
      </c>
    </row>
    <row r="89" spans="1:8" x14ac:dyDescent="0.2">
      <c r="A89" s="1" t="s">
        <v>60</v>
      </c>
    </row>
    <row r="90" spans="1:8" x14ac:dyDescent="0.2">
      <c r="A90" s="1" t="s">
        <v>61</v>
      </c>
    </row>
    <row r="91" spans="1:8" x14ac:dyDescent="0.2">
      <c r="A91" s="1" t="s">
        <v>2202</v>
      </c>
      <c r="G91" s="37">
        <v>3</v>
      </c>
      <c r="H91" s="1" t="s">
        <v>2203</v>
      </c>
    </row>
    <row r="93" spans="1:8" x14ac:dyDescent="0.2">
      <c r="B93" s="1" t="s">
        <v>62</v>
      </c>
      <c r="C93" s="1" t="s">
        <v>52</v>
      </c>
    </row>
    <row r="94" spans="1:8" x14ac:dyDescent="0.2">
      <c r="B94" s="1">
        <v>0</v>
      </c>
      <c r="G94" s="62"/>
      <c r="H94" s="8"/>
    </row>
    <row r="95" spans="1:8" x14ac:dyDescent="0.2">
      <c r="B95" s="1">
        <v>0.5</v>
      </c>
      <c r="C95" s="8">
        <f>3%*100</f>
        <v>3</v>
      </c>
      <c r="G95" s="62"/>
      <c r="H95" s="62"/>
    </row>
    <row r="96" spans="1:8" x14ac:dyDescent="0.2">
      <c r="B96" s="1">
        <v>1</v>
      </c>
      <c r="C96" s="8">
        <f>C95</f>
        <v>3</v>
      </c>
      <c r="E96" s="63"/>
      <c r="G96" s="62"/>
      <c r="H96" s="62"/>
    </row>
    <row r="97" spans="2:10" x14ac:dyDescent="0.2">
      <c r="B97" s="1">
        <f>B96+0.5</f>
        <v>1.5</v>
      </c>
      <c r="C97" s="8">
        <f>C96</f>
        <v>3</v>
      </c>
      <c r="G97" s="62"/>
      <c r="H97" s="62"/>
    </row>
    <row r="98" spans="2:10" x14ac:dyDescent="0.2">
      <c r="B98" s="1">
        <f t="shared" ref="B98:B110" si="1">B97+0.5</f>
        <v>2</v>
      </c>
      <c r="C98" s="8">
        <f t="shared" ref="C98:C109" si="2">C97</f>
        <v>3</v>
      </c>
      <c r="G98" s="62"/>
      <c r="H98" s="62"/>
    </row>
    <row r="99" spans="2:10" x14ac:dyDescent="0.2">
      <c r="B99" s="1">
        <f t="shared" si="1"/>
        <v>2.5</v>
      </c>
      <c r="C99" s="8">
        <f t="shared" si="2"/>
        <v>3</v>
      </c>
      <c r="E99" s="4"/>
      <c r="G99" s="62"/>
      <c r="H99" s="62"/>
    </row>
    <row r="100" spans="2:10" x14ac:dyDescent="0.2">
      <c r="B100" s="1">
        <f t="shared" si="1"/>
        <v>3</v>
      </c>
      <c r="C100" s="8">
        <f t="shared" si="2"/>
        <v>3</v>
      </c>
      <c r="G100" s="62"/>
      <c r="H100" s="62"/>
    </row>
    <row r="101" spans="2:10" x14ac:dyDescent="0.2">
      <c r="B101" s="1">
        <f t="shared" si="1"/>
        <v>3.5</v>
      </c>
      <c r="C101" s="8">
        <f t="shared" si="2"/>
        <v>3</v>
      </c>
      <c r="G101" s="8"/>
      <c r="H101" s="8"/>
    </row>
    <row r="102" spans="2:10" x14ac:dyDescent="0.2">
      <c r="B102" s="1">
        <f t="shared" si="1"/>
        <v>4</v>
      </c>
      <c r="C102" s="8">
        <f t="shared" si="2"/>
        <v>3</v>
      </c>
      <c r="E102" s="55" t="s">
        <v>64</v>
      </c>
    </row>
    <row r="103" spans="2:10" x14ac:dyDescent="0.2">
      <c r="B103" s="1">
        <f t="shared" si="1"/>
        <v>4.5</v>
      </c>
      <c r="C103" s="8">
        <f t="shared" si="2"/>
        <v>3</v>
      </c>
      <c r="E103" s="1" t="s">
        <v>65</v>
      </c>
      <c r="J103" s="321"/>
    </row>
    <row r="104" spans="2:10" x14ac:dyDescent="0.2">
      <c r="B104" s="1">
        <f t="shared" si="1"/>
        <v>5</v>
      </c>
      <c r="C104" s="8">
        <f t="shared" si="2"/>
        <v>3</v>
      </c>
      <c r="E104" s="1" t="s">
        <v>66</v>
      </c>
    </row>
    <row r="105" spans="2:10" x14ac:dyDescent="0.2">
      <c r="B105" s="1">
        <f t="shared" si="1"/>
        <v>5.5</v>
      </c>
      <c r="C105" s="8">
        <f t="shared" si="2"/>
        <v>3</v>
      </c>
      <c r="E105" s="1" t="s">
        <v>67</v>
      </c>
    </row>
    <row r="106" spans="2:10" x14ac:dyDescent="0.2">
      <c r="B106" s="1">
        <f t="shared" si="1"/>
        <v>6</v>
      </c>
      <c r="C106" s="8">
        <f t="shared" si="2"/>
        <v>3</v>
      </c>
    </row>
    <row r="107" spans="2:10" x14ac:dyDescent="0.2">
      <c r="B107" s="1">
        <f t="shared" si="1"/>
        <v>6.5</v>
      </c>
      <c r="C107" s="8">
        <f t="shared" si="2"/>
        <v>3</v>
      </c>
      <c r="E107" s="1" t="s">
        <v>68</v>
      </c>
    </row>
    <row r="108" spans="2:10" x14ac:dyDescent="0.2">
      <c r="B108" s="1">
        <f t="shared" si="1"/>
        <v>7</v>
      </c>
      <c r="C108" s="8">
        <f t="shared" si="2"/>
        <v>3</v>
      </c>
    </row>
    <row r="109" spans="2:10" x14ac:dyDescent="0.2">
      <c r="B109" s="1">
        <f t="shared" si="1"/>
        <v>7.5</v>
      </c>
      <c r="C109" s="8">
        <f t="shared" si="2"/>
        <v>3</v>
      </c>
    </row>
    <row r="110" spans="2:10" x14ac:dyDescent="0.2">
      <c r="B110" s="1">
        <f t="shared" si="1"/>
        <v>8</v>
      </c>
      <c r="C110" s="8">
        <f>3+100</f>
        <v>103</v>
      </c>
      <c r="E110" s="1" t="s">
        <v>69</v>
      </c>
    </row>
    <row r="111" spans="2:10" x14ac:dyDescent="0.2">
      <c r="C111" s="8"/>
      <c r="E111" s="1" t="s">
        <v>70</v>
      </c>
    </row>
    <row r="113" spans="1:8" x14ac:dyDescent="0.2">
      <c r="A113" s="1" t="s">
        <v>2204</v>
      </c>
      <c r="H113"/>
    </row>
    <row r="114" spans="1:8" x14ac:dyDescent="0.2">
      <c r="A114" s="1" t="s">
        <v>2205</v>
      </c>
    </row>
    <row r="115" spans="1:8" x14ac:dyDescent="0.2">
      <c r="A115" s="4" t="s">
        <v>2206</v>
      </c>
    </row>
    <row r="116" spans="1:8" x14ac:dyDescent="0.2">
      <c r="A116" s="1" t="s">
        <v>2207</v>
      </c>
    </row>
    <row r="117" spans="1:8" x14ac:dyDescent="0.2">
      <c r="A117" s="4"/>
    </row>
    <row r="118" spans="1:8" x14ac:dyDescent="0.2">
      <c r="A118" s="4" t="s">
        <v>2208</v>
      </c>
    </row>
    <row r="119" spans="1:8" x14ac:dyDescent="0.2">
      <c r="A119" s="4"/>
    </row>
    <row r="120" spans="1:8" x14ac:dyDescent="0.2">
      <c r="A120" s="4" t="s">
        <v>2209</v>
      </c>
    </row>
    <row r="121" spans="1:8" x14ac:dyDescent="0.2">
      <c r="A121" s="4"/>
    </row>
    <row r="122" spans="1:8" x14ac:dyDescent="0.2">
      <c r="A122" s="4"/>
    </row>
    <row r="123" spans="1:8" x14ac:dyDescent="0.2">
      <c r="A123" s="4"/>
    </row>
    <row r="125" spans="1:8" x14ac:dyDescent="0.2">
      <c r="A125" s="1" t="s">
        <v>2210</v>
      </c>
      <c r="C125" s="325">
        <f>NPV(5%,C95:C110)</f>
        <v>78.324460879655973</v>
      </c>
      <c r="E125" s="1" t="s">
        <v>71</v>
      </c>
    </row>
    <row r="126" spans="1:8" x14ac:dyDescent="0.2">
      <c r="E126" s="1" t="s">
        <v>72</v>
      </c>
    </row>
    <row r="127" spans="1:8" x14ac:dyDescent="0.2">
      <c r="E127" s="1" t="s">
        <v>73</v>
      </c>
    </row>
    <row r="128" spans="1:8" x14ac:dyDescent="0.2">
      <c r="E128" s="1" t="s">
        <v>74</v>
      </c>
    </row>
    <row r="129" spans="1:6" x14ac:dyDescent="0.2">
      <c r="E129" s="1" t="s">
        <v>75</v>
      </c>
    </row>
    <row r="130" spans="1:6" x14ac:dyDescent="0.2">
      <c r="E130" s="1" t="s">
        <v>76</v>
      </c>
    </row>
    <row r="131" spans="1:6" x14ac:dyDescent="0.2">
      <c r="E131" s="1" t="s">
        <v>77</v>
      </c>
    </row>
    <row r="132" spans="1:6" x14ac:dyDescent="0.2">
      <c r="E132" s="1" t="s">
        <v>78</v>
      </c>
    </row>
    <row r="134" spans="1:6" x14ac:dyDescent="0.2">
      <c r="A134" s="4" t="s">
        <v>2214</v>
      </c>
    </row>
    <row r="135" spans="1:6" x14ac:dyDescent="0.2">
      <c r="A135" s="1" t="s">
        <v>2211</v>
      </c>
    </row>
    <row r="136" spans="1:6" x14ac:dyDescent="0.2">
      <c r="A136" s="1" t="s">
        <v>2212</v>
      </c>
    </row>
    <row r="137" spans="1:6" x14ac:dyDescent="0.2">
      <c r="A137" s="1" t="s">
        <v>2213</v>
      </c>
    </row>
    <row r="139" spans="1:6" x14ac:dyDescent="0.2">
      <c r="D139" s="40">
        <v>0.05</v>
      </c>
      <c r="E139" s="1" t="s">
        <v>117</v>
      </c>
      <c r="F139" s="1" t="s">
        <v>2216</v>
      </c>
    </row>
    <row r="140" spans="1:6" x14ac:dyDescent="0.2">
      <c r="D140" s="37">
        <v>16</v>
      </c>
      <c r="E140" s="1" t="s">
        <v>119</v>
      </c>
      <c r="F140" s="1" t="s">
        <v>2218</v>
      </c>
    </row>
    <row r="141" spans="1:6" x14ac:dyDescent="0.2">
      <c r="D141" s="37">
        <v>3</v>
      </c>
      <c r="E141" s="1" t="s">
        <v>123</v>
      </c>
      <c r="F141" s="1" t="s">
        <v>2190</v>
      </c>
    </row>
    <row r="142" spans="1:6" x14ac:dyDescent="0.2">
      <c r="D142" s="37">
        <v>100</v>
      </c>
      <c r="E142" s="1" t="s">
        <v>125</v>
      </c>
      <c r="F142" s="1" t="s">
        <v>2217</v>
      </c>
    </row>
    <row r="143" spans="1:6" x14ac:dyDescent="0.2">
      <c r="D143" s="325">
        <f>PV(D139,D140,D141,D142)</f>
        <v>-78.324460879656016</v>
      </c>
      <c r="E143" s="1" t="s">
        <v>2186</v>
      </c>
      <c r="F143" s="1" t="s">
        <v>2215</v>
      </c>
    </row>
    <row r="145" spans="1:10" ht="17" thickBot="1" x14ac:dyDescent="0.25"/>
    <row r="146" spans="1:10" x14ac:dyDescent="0.2">
      <c r="A146" s="57" t="s">
        <v>2219</v>
      </c>
      <c r="B146" s="17"/>
      <c r="C146" s="17"/>
      <c r="D146" s="17"/>
      <c r="E146" s="17"/>
      <c r="F146" s="17"/>
      <c r="G146" s="17"/>
      <c r="H146" s="18"/>
    </row>
    <row r="147" spans="1:10" x14ac:dyDescent="0.2">
      <c r="A147" s="19" t="s">
        <v>2220</v>
      </c>
      <c r="H147" s="20"/>
    </row>
    <row r="148" spans="1:10" x14ac:dyDescent="0.2">
      <c r="A148" s="19" t="s">
        <v>2221</v>
      </c>
      <c r="H148" s="20"/>
    </row>
    <row r="149" spans="1:10" x14ac:dyDescent="0.2">
      <c r="A149" s="19" t="s">
        <v>2222</v>
      </c>
      <c r="H149" s="20"/>
    </row>
    <row r="150" spans="1:10" x14ac:dyDescent="0.2">
      <c r="A150" s="19"/>
      <c r="H150" s="20"/>
    </row>
    <row r="151" spans="1:10" x14ac:dyDescent="0.2">
      <c r="A151" s="19" t="s">
        <v>2223</v>
      </c>
      <c r="B151" s="1" t="s">
        <v>2224</v>
      </c>
      <c r="C151" s="1" t="s">
        <v>2227</v>
      </c>
      <c r="H151" s="20"/>
    </row>
    <row r="152" spans="1:10" ht="17" thickBot="1" x14ac:dyDescent="0.25">
      <c r="A152" s="21"/>
      <c r="B152" s="22" t="s">
        <v>2225</v>
      </c>
      <c r="C152" s="22" t="s">
        <v>2226</v>
      </c>
      <c r="D152" s="22"/>
      <c r="E152" s="22"/>
      <c r="F152" s="22"/>
      <c r="G152" s="22"/>
      <c r="H152" s="23"/>
    </row>
    <row r="155" spans="1:10" x14ac:dyDescent="0.2">
      <c r="A155" s="49" t="s">
        <v>3232</v>
      </c>
      <c r="B155" s="49"/>
      <c r="C155" s="49"/>
      <c r="D155" s="49"/>
      <c r="E155" s="49"/>
      <c r="F155" s="49"/>
      <c r="G155" s="49"/>
      <c r="H155" s="49"/>
    </row>
    <row r="157" spans="1:10" x14ac:dyDescent="0.2">
      <c r="A157" s="1" t="s">
        <v>80</v>
      </c>
    </row>
    <row r="158" spans="1:10" x14ac:dyDescent="0.2">
      <c r="A158" s="1" t="s">
        <v>81</v>
      </c>
    </row>
    <row r="159" spans="1:10" x14ac:dyDescent="0.2">
      <c r="A159" s="1" t="s">
        <v>82</v>
      </c>
    </row>
    <row r="160" spans="1:10" x14ac:dyDescent="0.2">
      <c r="A160" s="1" t="s">
        <v>83</v>
      </c>
      <c r="J160" s="11"/>
    </row>
    <row r="161" spans="1:11" x14ac:dyDescent="0.2">
      <c r="A161" s="1" t="s">
        <v>84</v>
      </c>
    </row>
    <row r="163" spans="1:11" ht="35" thickBot="1" x14ac:dyDescent="0.25">
      <c r="A163" s="25" t="s">
        <v>35</v>
      </c>
      <c r="B163" s="56" t="s">
        <v>85</v>
      </c>
      <c r="C163" s="327" t="s">
        <v>86</v>
      </c>
      <c r="D163" s="327" t="s">
        <v>87</v>
      </c>
      <c r="E163" s="322"/>
      <c r="F163" s="327" t="s">
        <v>88</v>
      </c>
      <c r="H163" s="1" t="s">
        <v>2228</v>
      </c>
    </row>
    <row r="164" spans="1:11" x14ac:dyDescent="0.2">
      <c r="A164" s="1">
        <v>0</v>
      </c>
      <c r="B164" s="60"/>
      <c r="C164" s="60"/>
      <c r="D164" s="60"/>
      <c r="E164" s="7"/>
      <c r="F164" s="8">
        <v>200</v>
      </c>
      <c r="H164" s="57" t="s">
        <v>89</v>
      </c>
      <c r="I164" s="17"/>
      <c r="J164" s="17"/>
      <c r="K164" s="18"/>
    </row>
    <row r="165" spans="1:11" x14ac:dyDescent="0.2">
      <c r="A165" s="1">
        <v>1</v>
      </c>
      <c r="B165" s="8">
        <v>0</v>
      </c>
      <c r="C165" s="8">
        <f>F164*4%</f>
        <v>8</v>
      </c>
      <c r="D165" s="95">
        <f>B165+C165</f>
        <v>8</v>
      </c>
      <c r="E165" s="7"/>
      <c r="F165" s="8">
        <f>F164</f>
        <v>200</v>
      </c>
      <c r="H165" s="19" t="s">
        <v>90</v>
      </c>
      <c r="K165" s="20"/>
    </row>
    <row r="166" spans="1:11" x14ac:dyDescent="0.2">
      <c r="A166" s="1">
        <f t="shared" ref="A166:A171" si="3">A165+1</f>
        <v>2</v>
      </c>
      <c r="B166" s="8">
        <v>0</v>
      </c>
      <c r="C166" s="8">
        <f t="shared" ref="C166:C171" si="4">F165*4%</f>
        <v>8</v>
      </c>
      <c r="D166" s="95">
        <f t="shared" ref="D166:D171" si="5">B166+C166</f>
        <v>8</v>
      </c>
      <c r="E166" s="7"/>
      <c r="F166" s="8">
        <f>F165</f>
        <v>200</v>
      </c>
      <c r="H166" s="19" t="s">
        <v>91</v>
      </c>
      <c r="K166" s="20"/>
    </row>
    <row r="167" spans="1:11" x14ac:dyDescent="0.2">
      <c r="A167" s="1">
        <f t="shared" si="3"/>
        <v>3</v>
      </c>
      <c r="B167" s="8">
        <v>0</v>
      </c>
      <c r="C167" s="8">
        <f t="shared" si="4"/>
        <v>8</v>
      </c>
      <c r="D167" s="95">
        <f t="shared" si="5"/>
        <v>8</v>
      </c>
      <c r="E167" s="7"/>
      <c r="F167" s="8">
        <f>F166</f>
        <v>200</v>
      </c>
      <c r="H167" s="19" t="s">
        <v>92</v>
      </c>
      <c r="K167" s="20"/>
    </row>
    <row r="168" spans="1:11" x14ac:dyDescent="0.2">
      <c r="A168" s="314">
        <f t="shared" si="3"/>
        <v>4</v>
      </c>
      <c r="B168" s="8">
        <f>200/4</f>
        <v>50</v>
      </c>
      <c r="C168" s="8">
        <f t="shared" si="4"/>
        <v>8</v>
      </c>
      <c r="D168" s="95">
        <f>B168+C168</f>
        <v>58</v>
      </c>
      <c r="E168" s="7"/>
      <c r="F168" s="8">
        <f>F167-B168</f>
        <v>150</v>
      </c>
      <c r="H168" s="19"/>
      <c r="J168" s="1" t="s">
        <v>93</v>
      </c>
      <c r="K168" s="20"/>
    </row>
    <row r="169" spans="1:11" x14ac:dyDescent="0.2">
      <c r="A169" s="314">
        <f t="shared" si="3"/>
        <v>5</v>
      </c>
      <c r="B169" s="8">
        <f>B168</f>
        <v>50</v>
      </c>
      <c r="C169" s="8">
        <f>F168*4%</f>
        <v>6</v>
      </c>
      <c r="D169" s="95">
        <f t="shared" si="5"/>
        <v>56</v>
      </c>
      <c r="E169" s="7"/>
      <c r="F169" s="8">
        <f>F168-B169</f>
        <v>100</v>
      </c>
      <c r="H169" s="19"/>
      <c r="K169" s="20"/>
    </row>
    <row r="170" spans="1:11" x14ac:dyDescent="0.2">
      <c r="A170" s="314">
        <f t="shared" si="3"/>
        <v>6</v>
      </c>
      <c r="B170" s="8">
        <f>B169</f>
        <v>50</v>
      </c>
      <c r="C170" s="8">
        <f>F169*4%</f>
        <v>4</v>
      </c>
      <c r="D170" s="95">
        <f t="shared" si="5"/>
        <v>54</v>
      </c>
      <c r="E170" s="7"/>
      <c r="F170" s="8">
        <f>F169-B170</f>
        <v>50</v>
      </c>
      <c r="H170" s="19" t="s">
        <v>94</v>
      </c>
      <c r="K170" s="20"/>
    </row>
    <row r="171" spans="1:11" x14ac:dyDescent="0.2">
      <c r="A171" s="314">
        <f t="shared" si="3"/>
        <v>7</v>
      </c>
      <c r="B171" s="8">
        <f>B170</f>
        <v>50</v>
      </c>
      <c r="C171" s="8">
        <f t="shared" si="4"/>
        <v>2</v>
      </c>
      <c r="D171" s="95">
        <f t="shared" si="5"/>
        <v>52</v>
      </c>
      <c r="E171" s="7"/>
      <c r="F171" s="8">
        <f>F170-B171</f>
        <v>0</v>
      </c>
      <c r="H171" s="19" t="s">
        <v>95</v>
      </c>
      <c r="K171" s="20"/>
    </row>
    <row r="172" spans="1:11" x14ac:dyDescent="0.2">
      <c r="H172" s="19" t="s">
        <v>96</v>
      </c>
      <c r="K172" s="20"/>
    </row>
    <row r="173" spans="1:11" ht="23" x14ac:dyDescent="0.25">
      <c r="A173" s="1" t="s">
        <v>2229</v>
      </c>
      <c r="H173" s="19" t="s">
        <v>97</v>
      </c>
      <c r="K173" s="20"/>
    </row>
    <row r="174" spans="1:11" x14ac:dyDescent="0.2">
      <c r="A174" s="1" t="s">
        <v>2230</v>
      </c>
      <c r="H174" s="19"/>
      <c r="K174" s="20"/>
    </row>
    <row r="175" spans="1:11" x14ac:dyDescent="0.2">
      <c r="A175" s="1" t="s">
        <v>2231</v>
      </c>
      <c r="D175" s="11">
        <v>0.03</v>
      </c>
      <c r="E175" s="1" t="s">
        <v>335</v>
      </c>
      <c r="H175" s="19" t="s">
        <v>99</v>
      </c>
      <c r="K175" s="20"/>
    </row>
    <row r="176" spans="1:11" ht="17" thickBot="1" x14ac:dyDescent="0.25">
      <c r="H176" s="19" t="s">
        <v>100</v>
      </c>
      <c r="K176" s="20"/>
    </row>
    <row r="177" spans="1:11" ht="17" thickBot="1" x14ac:dyDescent="0.25">
      <c r="A177" s="1" t="s">
        <v>2232</v>
      </c>
      <c r="D177" s="58">
        <f>NPV(D175,D165:D171)</f>
        <v>209.97213999455229</v>
      </c>
      <c r="E177" s="4" t="s">
        <v>98</v>
      </c>
      <c r="H177" s="19" t="s">
        <v>101</v>
      </c>
      <c r="K177" s="20"/>
    </row>
    <row r="178" spans="1:11" x14ac:dyDescent="0.2">
      <c r="H178" s="19"/>
      <c r="K178" s="20"/>
    </row>
    <row r="179" spans="1:11" x14ac:dyDescent="0.2">
      <c r="H179" s="19" t="s">
        <v>102</v>
      </c>
      <c r="K179" s="20"/>
    </row>
    <row r="180" spans="1:11" ht="17" thickBot="1" x14ac:dyDescent="0.25">
      <c r="H180" s="21" t="s">
        <v>103</v>
      </c>
      <c r="I180" s="22"/>
      <c r="J180" s="22"/>
      <c r="K180" s="23"/>
    </row>
    <row r="182" spans="1:11" ht="17" thickBot="1" x14ac:dyDescent="0.25"/>
    <row r="183" spans="1:11" ht="17" thickBot="1" x14ac:dyDescent="0.25">
      <c r="A183" s="148" t="s">
        <v>2233</v>
      </c>
      <c r="B183" s="150"/>
      <c r="C183" s="150"/>
      <c r="D183" s="150"/>
      <c r="E183" s="150"/>
      <c r="F183" s="150"/>
      <c r="G183" s="150"/>
      <c r="H183" s="151"/>
    </row>
    <row r="184" spans="1:11" x14ac:dyDescent="0.2">
      <c r="A184" s="1" t="s">
        <v>2234</v>
      </c>
    </row>
    <row r="185" spans="1:11" x14ac:dyDescent="0.2">
      <c r="A185" s="1" t="s">
        <v>3233</v>
      </c>
    </row>
    <row r="186" spans="1:11" x14ac:dyDescent="0.2">
      <c r="A186" s="1" t="s">
        <v>2235</v>
      </c>
      <c r="I186"/>
    </row>
    <row r="187" spans="1:11" x14ac:dyDescent="0.2">
      <c r="A187" s="1" t="s">
        <v>2236</v>
      </c>
    </row>
    <row r="188" spans="1:11" x14ac:dyDescent="0.2">
      <c r="A188" s="1" t="s">
        <v>2237</v>
      </c>
    </row>
    <row r="190" spans="1:11" x14ac:dyDescent="0.2">
      <c r="C190" s="37" t="s">
        <v>2238</v>
      </c>
      <c r="D190" s="37" t="s">
        <v>2242</v>
      </c>
      <c r="E190" s="37" t="s">
        <v>2244</v>
      </c>
      <c r="F190" s="37"/>
      <c r="G190" s="37" t="s">
        <v>2240</v>
      </c>
    </row>
    <row r="191" spans="1:11" ht="34" x14ac:dyDescent="0.2">
      <c r="B191" s="39" t="s">
        <v>35</v>
      </c>
      <c r="C191" s="329" t="s">
        <v>2239</v>
      </c>
      <c r="D191" s="329" t="s">
        <v>2243</v>
      </c>
      <c r="E191" s="329" t="s">
        <v>2245</v>
      </c>
      <c r="F191" s="329"/>
      <c r="G191" s="329" t="s">
        <v>2241</v>
      </c>
    </row>
    <row r="192" spans="1:11" x14ac:dyDescent="0.2">
      <c r="A192" s="563" t="s">
        <v>2246</v>
      </c>
      <c r="B192" s="62">
        <v>0</v>
      </c>
      <c r="C192" s="61"/>
      <c r="D192" s="61"/>
      <c r="E192" s="61"/>
      <c r="F192" s="59"/>
      <c r="G192" s="62">
        <v>400</v>
      </c>
    </row>
    <row r="193" spans="1:9" x14ac:dyDescent="0.2">
      <c r="A193" s="563"/>
      <c r="B193" s="62">
        <v>0.5</v>
      </c>
      <c r="C193" s="62">
        <v>0</v>
      </c>
      <c r="D193" s="62">
        <f>4%*G192</f>
        <v>16</v>
      </c>
      <c r="E193" s="62">
        <f>C193+D193</f>
        <v>16</v>
      </c>
      <c r="F193" s="59"/>
      <c r="G193" s="62">
        <f>G192-C193</f>
        <v>400</v>
      </c>
    </row>
    <row r="194" spans="1:9" x14ac:dyDescent="0.2">
      <c r="A194" s="563"/>
      <c r="B194" s="62">
        <v>1</v>
      </c>
      <c r="C194" s="62">
        <v>0</v>
      </c>
      <c r="D194" s="62">
        <f>4%*G193</f>
        <v>16</v>
      </c>
      <c r="E194" s="62">
        <f>C194+D194</f>
        <v>16</v>
      </c>
      <c r="F194" s="59"/>
      <c r="G194" s="62">
        <f>G193-C194</f>
        <v>400</v>
      </c>
    </row>
    <row r="195" spans="1:9" x14ac:dyDescent="0.2">
      <c r="A195" s="564" t="s">
        <v>2247</v>
      </c>
      <c r="B195" s="471">
        <v>1.5</v>
      </c>
      <c r="C195" s="62">
        <v>200</v>
      </c>
      <c r="D195" s="62">
        <f>4%*G194</f>
        <v>16</v>
      </c>
      <c r="E195" s="62">
        <f>C195+D195</f>
        <v>216</v>
      </c>
      <c r="F195" s="59"/>
      <c r="G195" s="62">
        <f>G194-C195</f>
        <v>200</v>
      </c>
      <c r="I195" s="1" t="s">
        <v>2255</v>
      </c>
    </row>
    <row r="196" spans="1:9" x14ac:dyDescent="0.2">
      <c r="A196" s="564"/>
      <c r="B196" s="471">
        <v>2</v>
      </c>
      <c r="C196" s="62">
        <v>200</v>
      </c>
      <c r="D196" s="62">
        <f>4%*G195</f>
        <v>8</v>
      </c>
      <c r="E196" s="62">
        <f>C196+D196</f>
        <v>208</v>
      </c>
      <c r="F196" s="59"/>
      <c r="G196" s="62">
        <f>G195-C196</f>
        <v>0</v>
      </c>
      <c r="I196" s="1" t="s">
        <v>2256</v>
      </c>
    </row>
    <row r="198" spans="1:9" x14ac:dyDescent="0.2">
      <c r="E198" s="40">
        <v>0.03</v>
      </c>
      <c r="F198" s="1" t="s">
        <v>335</v>
      </c>
      <c r="G198" s="1" t="s">
        <v>2257</v>
      </c>
    </row>
    <row r="199" spans="1:9" x14ac:dyDescent="0.2">
      <c r="E199" s="66">
        <f>NPV(3%,E193:E196)</f>
        <v>413.09141951541011</v>
      </c>
      <c r="F199" s="1" t="s">
        <v>1809</v>
      </c>
      <c r="G199" s="1" t="s">
        <v>2215</v>
      </c>
    </row>
    <row r="201" spans="1:9" x14ac:dyDescent="0.2">
      <c r="A201" s="1" t="s">
        <v>2251</v>
      </c>
    </row>
    <row r="202" spans="1:9" x14ac:dyDescent="0.2">
      <c r="A202" s="1" t="s">
        <v>2252</v>
      </c>
    </row>
    <row r="203" spans="1:9" x14ac:dyDescent="0.2">
      <c r="A203" s="1" t="s">
        <v>2253</v>
      </c>
    </row>
    <row r="204" spans="1:9" x14ac:dyDescent="0.2">
      <c r="A204" s="1" t="s">
        <v>2254</v>
      </c>
    </row>
    <row r="205" spans="1:9" x14ac:dyDescent="0.2">
      <c r="A205" s="1" t="s">
        <v>2248</v>
      </c>
    </row>
    <row r="206" spans="1:9" x14ac:dyDescent="0.2">
      <c r="A206" s="1" t="s">
        <v>2249</v>
      </c>
      <c r="H206" s="1" t="s">
        <v>2250</v>
      </c>
    </row>
    <row r="209" spans="1:8" ht="21" x14ac:dyDescent="0.25">
      <c r="A209" s="330" t="s">
        <v>3234</v>
      </c>
    </row>
    <row r="211" spans="1:8" x14ac:dyDescent="0.2">
      <c r="A211" s="38" t="s">
        <v>3236</v>
      </c>
      <c r="B211" s="38"/>
      <c r="C211" s="38"/>
      <c r="D211" s="38"/>
      <c r="E211" s="38"/>
      <c r="F211" s="38"/>
      <c r="G211" s="38"/>
      <c r="H211" s="81" t="s">
        <v>225</v>
      </c>
    </row>
    <row r="212" spans="1:8" x14ac:dyDescent="0.2">
      <c r="A212" s="1" t="s">
        <v>105</v>
      </c>
    </row>
    <row r="213" spans="1:8" x14ac:dyDescent="0.2">
      <c r="A213" s="1" t="s">
        <v>106</v>
      </c>
    </row>
    <row r="214" spans="1:8" x14ac:dyDescent="0.2">
      <c r="A214" s="1" t="s">
        <v>107</v>
      </c>
    </row>
    <row r="215" spans="1:8" x14ac:dyDescent="0.2">
      <c r="A215" s="1" t="s">
        <v>108</v>
      </c>
    </row>
    <row r="216" spans="1:8" x14ac:dyDescent="0.2">
      <c r="A216" s="1" t="s">
        <v>109</v>
      </c>
    </row>
    <row r="217" spans="1:8" x14ac:dyDescent="0.2">
      <c r="A217" s="1" t="s">
        <v>110</v>
      </c>
    </row>
    <row r="219" spans="1:8" x14ac:dyDescent="0.2">
      <c r="A219" s="4" t="s">
        <v>198</v>
      </c>
    </row>
    <row r="221" spans="1:8" x14ac:dyDescent="0.2">
      <c r="A221" s="1" t="s">
        <v>111</v>
      </c>
    </row>
    <row r="222" spans="1:8" x14ac:dyDescent="0.2">
      <c r="A222" s="1" t="s">
        <v>112</v>
      </c>
    </row>
    <row r="224" spans="1:8" x14ac:dyDescent="0.2">
      <c r="A224" s="1" t="s">
        <v>3235</v>
      </c>
    </row>
    <row r="225" spans="1:6" x14ac:dyDescent="0.2">
      <c r="C225" s="39" t="s">
        <v>114</v>
      </c>
      <c r="D225" s="39" t="s">
        <v>115</v>
      </c>
      <c r="E225" s="39" t="s">
        <v>116</v>
      </c>
    </row>
    <row r="226" spans="1:6" x14ac:dyDescent="0.2">
      <c r="A226" s="1" t="s">
        <v>55</v>
      </c>
      <c r="C226" s="65">
        <v>0.06</v>
      </c>
      <c r="D226" s="65">
        <v>0.04</v>
      </c>
      <c r="E226" s="65">
        <v>0.02</v>
      </c>
      <c r="F226" s="1" t="s">
        <v>117</v>
      </c>
    </row>
    <row r="227" spans="1:6" x14ac:dyDescent="0.2">
      <c r="A227" s="1" t="s">
        <v>118</v>
      </c>
      <c r="C227" s="62">
        <v>5</v>
      </c>
      <c r="D227" s="62">
        <v>5</v>
      </c>
      <c r="E227" s="62">
        <v>5</v>
      </c>
      <c r="F227" s="1" t="s">
        <v>119</v>
      </c>
    </row>
    <row r="228" spans="1:6" x14ac:dyDescent="0.2">
      <c r="A228" s="1" t="s">
        <v>120</v>
      </c>
      <c r="C228" s="66">
        <f>PV(C226,C227,C229,C230)</f>
        <v>-91.575272428868558</v>
      </c>
      <c r="D228" s="66">
        <f>PV(D226,D227,D229,D230)</f>
        <v>-100</v>
      </c>
      <c r="E228" s="66">
        <f>PV(E226,E227,E229,E230)</f>
        <v>-109.42691901700842</v>
      </c>
      <c r="F228" s="1" t="s">
        <v>121</v>
      </c>
    </row>
    <row r="229" spans="1:6" x14ac:dyDescent="0.2">
      <c r="A229" s="1" t="s">
        <v>122</v>
      </c>
      <c r="C229" s="62">
        <f>100*4%</f>
        <v>4</v>
      </c>
      <c r="D229" s="62">
        <f>100*4%</f>
        <v>4</v>
      </c>
      <c r="E229" s="62">
        <f>100*4%</f>
        <v>4</v>
      </c>
      <c r="F229" s="1" t="s">
        <v>123</v>
      </c>
    </row>
    <row r="230" spans="1:6" x14ac:dyDescent="0.2">
      <c r="A230" s="1" t="s">
        <v>124</v>
      </c>
      <c r="C230" s="62">
        <v>100</v>
      </c>
      <c r="D230" s="62">
        <v>100</v>
      </c>
      <c r="E230" s="62">
        <v>100</v>
      </c>
      <c r="F230" s="1" t="s">
        <v>125</v>
      </c>
    </row>
    <row r="231" spans="1:6" x14ac:dyDescent="0.2">
      <c r="C231" s="37"/>
      <c r="D231" s="37"/>
      <c r="E231" s="37"/>
    </row>
    <row r="232" spans="1:6" x14ac:dyDescent="0.2">
      <c r="A232" s="4" t="s">
        <v>126</v>
      </c>
      <c r="C232" s="37"/>
      <c r="D232" s="37"/>
      <c r="E232" s="37"/>
    </row>
    <row r="233" spans="1:6" x14ac:dyDescent="0.2">
      <c r="A233" s="1" t="s">
        <v>127</v>
      </c>
      <c r="C233" s="37"/>
      <c r="D233" s="37"/>
      <c r="E233" s="37"/>
    </row>
    <row r="234" spans="1:6" x14ac:dyDescent="0.2">
      <c r="A234" s="1" t="s">
        <v>128</v>
      </c>
      <c r="C234" s="37"/>
      <c r="D234" s="37"/>
      <c r="E234" s="37"/>
    </row>
    <row r="235" spans="1:6" x14ac:dyDescent="0.2">
      <c r="A235" s="1" t="s">
        <v>129</v>
      </c>
      <c r="C235" s="37"/>
      <c r="D235" s="37"/>
      <c r="E235" s="37"/>
    </row>
    <row r="236" spans="1:6" x14ac:dyDescent="0.2">
      <c r="C236" s="37"/>
      <c r="D236" s="37"/>
      <c r="E236" s="37"/>
    </row>
    <row r="237" spans="1:6" x14ac:dyDescent="0.2">
      <c r="A237" s="1" t="s">
        <v>130</v>
      </c>
      <c r="C237" s="37"/>
      <c r="D237" s="37"/>
      <c r="E237" s="37"/>
    </row>
    <row r="238" spans="1:6" x14ac:dyDescent="0.2">
      <c r="A238" s="1" t="s">
        <v>131</v>
      </c>
      <c r="C238" s="37"/>
      <c r="D238" s="37"/>
      <c r="E238" s="37"/>
    </row>
    <row r="239" spans="1:6" x14ac:dyDescent="0.2">
      <c r="C239" s="37"/>
      <c r="D239" s="37"/>
      <c r="E239" s="37"/>
    </row>
    <row r="240" spans="1:6" x14ac:dyDescent="0.2">
      <c r="A240" s="1" t="s">
        <v>132</v>
      </c>
      <c r="C240" s="37"/>
      <c r="D240" s="37"/>
      <c r="E240" s="37"/>
    </row>
    <row r="241" spans="1:8" x14ac:dyDescent="0.2">
      <c r="C241" s="37"/>
      <c r="D241" s="37"/>
      <c r="E241" s="37"/>
    </row>
    <row r="242" spans="1:8" x14ac:dyDescent="0.2">
      <c r="A242" s="1" t="s">
        <v>133</v>
      </c>
      <c r="C242" s="37"/>
      <c r="D242" s="37"/>
      <c r="E242" s="37"/>
    </row>
    <row r="243" spans="1:8" x14ac:dyDescent="0.2">
      <c r="A243" s="1" t="s">
        <v>134</v>
      </c>
      <c r="C243" s="37"/>
      <c r="D243" s="37"/>
      <c r="E243" s="37"/>
    </row>
    <row r="244" spans="1:8" ht="17" thickBot="1" x14ac:dyDescent="0.25">
      <c r="C244" s="37"/>
      <c r="D244" s="37"/>
      <c r="E244" s="37"/>
    </row>
    <row r="245" spans="1:8" x14ac:dyDescent="0.2">
      <c r="A245" s="57" t="s">
        <v>135</v>
      </c>
      <c r="B245" s="17"/>
      <c r="C245" s="67"/>
      <c r="D245" s="67"/>
      <c r="E245" s="67"/>
      <c r="F245" s="17"/>
      <c r="G245" s="17"/>
      <c r="H245" s="18"/>
    </row>
    <row r="246" spans="1:8" x14ac:dyDescent="0.2">
      <c r="A246" s="19" t="s">
        <v>2435</v>
      </c>
      <c r="C246" s="37"/>
      <c r="D246" s="37"/>
      <c r="E246" s="37"/>
      <c r="H246" s="20"/>
    </row>
    <row r="247" spans="1:8" x14ac:dyDescent="0.2">
      <c r="A247" s="566" t="s">
        <v>2433</v>
      </c>
      <c r="B247" s="565"/>
      <c r="C247" s="53" t="s">
        <v>136</v>
      </c>
      <c r="D247" s="37"/>
      <c r="E247" s="37"/>
      <c r="H247" s="249" t="s">
        <v>2438</v>
      </c>
    </row>
    <row r="248" spans="1:8" x14ac:dyDescent="0.2">
      <c r="A248" s="566" t="s">
        <v>2436</v>
      </c>
      <c r="B248" s="565"/>
      <c r="C248" s="53" t="s">
        <v>137</v>
      </c>
      <c r="D248" s="37"/>
      <c r="E248" s="37"/>
      <c r="H248" s="249" t="s">
        <v>2439</v>
      </c>
    </row>
    <row r="249" spans="1:8" x14ac:dyDescent="0.2">
      <c r="A249" s="566" t="s">
        <v>2437</v>
      </c>
      <c r="B249" s="565"/>
      <c r="C249" s="53" t="s">
        <v>138</v>
      </c>
      <c r="D249" s="37"/>
      <c r="E249" s="37"/>
      <c r="H249" s="249" t="s">
        <v>2440</v>
      </c>
    </row>
    <row r="250" spans="1:8" x14ac:dyDescent="0.2">
      <c r="A250" s="19"/>
      <c r="B250" s="37"/>
      <c r="C250" s="53"/>
      <c r="D250" s="37"/>
      <c r="E250" s="37"/>
      <c r="H250" s="20"/>
    </row>
    <row r="251" spans="1:8" ht="17" thickBot="1" x14ac:dyDescent="0.25">
      <c r="A251" s="21" t="s">
        <v>139</v>
      </c>
      <c r="B251" s="68"/>
      <c r="C251" s="69"/>
      <c r="D251" s="68"/>
      <c r="E251" s="68"/>
      <c r="F251" s="22"/>
      <c r="G251" s="22"/>
      <c r="H251" s="23"/>
    </row>
    <row r="252" spans="1:8" x14ac:dyDescent="0.2">
      <c r="B252" s="37"/>
      <c r="C252" s="53"/>
      <c r="D252" s="37"/>
      <c r="E252" s="37"/>
    </row>
    <row r="253" spans="1:8" x14ac:dyDescent="0.2">
      <c r="A253" s="472" t="s">
        <v>2273</v>
      </c>
      <c r="B253" s="37"/>
      <c r="C253" s="53"/>
      <c r="D253" s="37"/>
      <c r="E253" s="37"/>
    </row>
    <row r="254" spans="1:8" x14ac:dyDescent="0.2">
      <c r="B254" s="39" t="s">
        <v>35</v>
      </c>
      <c r="C254" s="328" t="s">
        <v>12</v>
      </c>
      <c r="D254" s="39" t="s">
        <v>52</v>
      </c>
      <c r="E254" s="37"/>
    </row>
    <row r="255" spans="1:8" x14ac:dyDescent="0.2">
      <c r="B255" s="37">
        <v>0</v>
      </c>
      <c r="C255" s="331">
        <v>43101</v>
      </c>
      <c r="D255" s="37"/>
      <c r="E255" s="37"/>
    </row>
    <row r="256" spans="1:8" x14ac:dyDescent="0.2">
      <c r="B256" s="37">
        <v>1</v>
      </c>
      <c r="C256" s="331">
        <v>43465</v>
      </c>
      <c r="D256" s="37">
        <v>4</v>
      </c>
      <c r="E256" s="37"/>
    </row>
    <row r="257" spans="1:8" x14ac:dyDescent="0.2">
      <c r="B257" s="37">
        <v>2</v>
      </c>
      <c r="C257" s="331">
        <v>43830</v>
      </c>
      <c r="D257" s="37">
        <f>D256</f>
        <v>4</v>
      </c>
      <c r="E257" s="37"/>
    </row>
    <row r="258" spans="1:8" x14ac:dyDescent="0.2">
      <c r="B258" s="37">
        <v>3</v>
      </c>
      <c r="C258" s="331">
        <v>44196</v>
      </c>
      <c r="D258" s="37">
        <f>D257</f>
        <v>4</v>
      </c>
      <c r="E258" s="37"/>
    </row>
    <row r="259" spans="1:8" x14ac:dyDescent="0.2">
      <c r="B259" s="37">
        <v>4</v>
      </c>
      <c r="C259" s="331">
        <v>44561</v>
      </c>
      <c r="D259" s="37">
        <f>D258</f>
        <v>4</v>
      </c>
      <c r="E259" s="37"/>
    </row>
    <row r="260" spans="1:8" x14ac:dyDescent="0.2">
      <c r="B260" s="37">
        <v>5</v>
      </c>
      <c r="C260" s="331">
        <v>44926</v>
      </c>
      <c r="D260" s="37">
        <v>104</v>
      </c>
      <c r="E260" s="37"/>
    </row>
    <row r="261" spans="1:8" x14ac:dyDescent="0.2">
      <c r="B261" s="37"/>
      <c r="C261" s="53"/>
      <c r="D261" s="37"/>
      <c r="E261" s="37"/>
    </row>
    <row r="262" spans="1:8" x14ac:dyDescent="0.2">
      <c r="B262" s="37" t="s">
        <v>2274</v>
      </c>
      <c r="C262" s="53"/>
      <c r="D262" s="40">
        <v>0.02</v>
      </c>
      <c r="E262" s="37" t="s">
        <v>2275</v>
      </c>
      <c r="F262" s="325">
        <f>NPV(D262,$D$256:$D$260)</f>
        <v>109.4269190170084</v>
      </c>
      <c r="G262" s="37" t="s">
        <v>116</v>
      </c>
      <c r="H262" s="1" t="s">
        <v>3237</v>
      </c>
    </row>
    <row r="263" spans="1:8" x14ac:dyDescent="0.2">
      <c r="B263" s="37" t="s">
        <v>2274</v>
      </c>
      <c r="C263" s="53"/>
      <c r="D263" s="40">
        <v>0.04</v>
      </c>
      <c r="E263" s="37" t="s">
        <v>2275</v>
      </c>
      <c r="F263" s="325">
        <f>NPV(D263,$D$256:$D$260)</f>
        <v>99.999999999999986</v>
      </c>
      <c r="G263" s="37" t="s">
        <v>115</v>
      </c>
      <c r="H263" s="1" t="s">
        <v>3239</v>
      </c>
    </row>
    <row r="264" spans="1:8" x14ac:dyDescent="0.2">
      <c r="B264" s="37" t="s">
        <v>2274</v>
      </c>
      <c r="C264" s="53"/>
      <c r="D264" s="40">
        <v>0.06</v>
      </c>
      <c r="E264" s="37" t="s">
        <v>2275</v>
      </c>
      <c r="F264" s="325">
        <f>NPV(D264,$D$256:$D$260)</f>
        <v>91.575272428868544</v>
      </c>
      <c r="G264" s="37" t="s">
        <v>114</v>
      </c>
      <c r="H264" s="1" t="s">
        <v>3238</v>
      </c>
    </row>
    <row r="265" spans="1:8" x14ac:dyDescent="0.2">
      <c r="B265" s="37"/>
      <c r="C265" s="53"/>
      <c r="D265" s="37"/>
      <c r="E265" s="37"/>
    </row>
    <row r="266" spans="1:8" x14ac:dyDescent="0.2">
      <c r="A266" s="38" t="s">
        <v>140</v>
      </c>
      <c r="B266" s="38"/>
      <c r="C266" s="38"/>
      <c r="D266" s="38"/>
      <c r="E266" s="38"/>
      <c r="F266" s="38"/>
      <c r="G266" s="38"/>
      <c r="H266" s="38"/>
    </row>
    <row r="267" spans="1:8" x14ac:dyDescent="0.2">
      <c r="A267" s="1" t="s">
        <v>141</v>
      </c>
    </row>
    <row r="268" spans="1:8" x14ac:dyDescent="0.2">
      <c r="A268" s="1" t="s">
        <v>142</v>
      </c>
    </row>
    <row r="270" spans="1:8" x14ac:dyDescent="0.2">
      <c r="A270" s="4" t="s">
        <v>198</v>
      </c>
    </row>
    <row r="272" spans="1:8" x14ac:dyDescent="0.2">
      <c r="A272" s="1" t="s">
        <v>143</v>
      </c>
      <c r="C272" s="39" t="s">
        <v>114</v>
      </c>
      <c r="D272" s="39" t="s">
        <v>115</v>
      </c>
      <c r="E272" s="39" t="s">
        <v>116</v>
      </c>
    </row>
    <row r="273" spans="1:8" x14ac:dyDescent="0.2">
      <c r="C273" s="70">
        <v>0.06</v>
      </c>
      <c r="D273" s="71">
        <v>0.04</v>
      </c>
      <c r="E273" s="72">
        <v>0.02</v>
      </c>
      <c r="F273" s="1" t="s">
        <v>117</v>
      </c>
    </row>
    <row r="274" spans="1:8" x14ac:dyDescent="0.2">
      <c r="C274" s="73">
        <f>C228</f>
        <v>-91.575272428868558</v>
      </c>
      <c r="D274" s="73">
        <f>D228</f>
        <v>-100</v>
      </c>
      <c r="E274" s="73">
        <f>E228</f>
        <v>-109.42691901700842</v>
      </c>
      <c r="F274" s="1" t="s">
        <v>144</v>
      </c>
    </row>
    <row r="275" spans="1:8" x14ac:dyDescent="0.2">
      <c r="C275" s="8"/>
      <c r="D275" s="8"/>
      <c r="E275" s="8"/>
    </row>
    <row r="276" spans="1:8" x14ac:dyDescent="0.2">
      <c r="C276" s="74">
        <v>0.04</v>
      </c>
      <c r="D276" s="71">
        <v>0.04</v>
      </c>
      <c r="E276" s="71">
        <v>0.04</v>
      </c>
      <c r="F276" s="41" t="s">
        <v>145</v>
      </c>
    </row>
    <row r="278" spans="1:8" x14ac:dyDescent="0.2">
      <c r="A278" s="1" t="s">
        <v>79</v>
      </c>
    </row>
    <row r="279" spans="1:8" x14ac:dyDescent="0.2">
      <c r="B279" s="565" t="s">
        <v>2432</v>
      </c>
      <c r="C279" s="565"/>
      <c r="D279" s="37" t="s">
        <v>146</v>
      </c>
      <c r="E279" s="1" t="s">
        <v>147</v>
      </c>
    </row>
    <row r="280" spans="1:8" x14ac:dyDescent="0.2">
      <c r="B280" s="565" t="s">
        <v>2433</v>
      </c>
      <c r="C280" s="565"/>
      <c r="D280" s="37" t="s">
        <v>146</v>
      </c>
      <c r="E280" s="1" t="s">
        <v>148</v>
      </c>
    </row>
    <row r="281" spans="1:8" x14ac:dyDescent="0.2">
      <c r="B281" s="565" t="s">
        <v>2434</v>
      </c>
      <c r="C281" s="565"/>
      <c r="D281" s="37" t="s">
        <v>146</v>
      </c>
      <c r="E281" s="1" t="s">
        <v>149</v>
      </c>
    </row>
    <row r="283" spans="1:8" x14ac:dyDescent="0.2">
      <c r="A283" s="75" t="s">
        <v>2276</v>
      </c>
    </row>
    <row r="284" spans="1:8" x14ac:dyDescent="0.2">
      <c r="A284" s="1" t="s">
        <v>150</v>
      </c>
    </row>
    <row r="285" spans="1:8" x14ac:dyDescent="0.2">
      <c r="A285" s="1" t="s">
        <v>2278</v>
      </c>
    </row>
    <row r="286" spans="1:8" x14ac:dyDescent="0.2">
      <c r="A286" s="1" t="s">
        <v>2277</v>
      </c>
    </row>
    <row r="288" spans="1:8" x14ac:dyDescent="0.2">
      <c r="A288" s="38" t="s">
        <v>2272</v>
      </c>
      <c r="B288" s="38"/>
      <c r="C288" s="38"/>
      <c r="D288" s="38"/>
      <c r="E288" s="38"/>
      <c r="F288" s="38"/>
      <c r="G288" s="38"/>
      <c r="H288" s="38"/>
    </row>
    <row r="289" spans="1:10" x14ac:dyDescent="0.2">
      <c r="A289" s="1" t="s">
        <v>151</v>
      </c>
      <c r="J289" s="11"/>
    </row>
    <row r="290" spans="1:10" x14ac:dyDescent="0.2">
      <c r="A290" s="1" t="s">
        <v>152</v>
      </c>
    </row>
    <row r="291" spans="1:10" x14ac:dyDescent="0.2">
      <c r="A291" s="1" t="s">
        <v>153</v>
      </c>
    </row>
    <row r="292" spans="1:10" x14ac:dyDescent="0.2">
      <c r="A292" s="1" t="s">
        <v>154</v>
      </c>
    </row>
    <row r="293" spans="1:10" x14ac:dyDescent="0.2">
      <c r="A293" s="1" t="s">
        <v>155</v>
      </c>
      <c r="J293" s="321"/>
    </row>
    <row r="294" spans="1:10" x14ac:dyDescent="0.2">
      <c r="A294" s="1" t="s">
        <v>156</v>
      </c>
    </row>
    <row r="295" spans="1:10" x14ac:dyDescent="0.2">
      <c r="A295" s="1" t="s">
        <v>157</v>
      </c>
    </row>
    <row r="297" spans="1:10" x14ac:dyDescent="0.2">
      <c r="A297" s="4" t="s">
        <v>198</v>
      </c>
    </row>
    <row r="299" spans="1:10" x14ac:dyDescent="0.2">
      <c r="A299" s="1" t="s">
        <v>113</v>
      </c>
    </row>
    <row r="300" spans="1:10" x14ac:dyDescent="0.2">
      <c r="C300" s="39" t="s">
        <v>114</v>
      </c>
      <c r="D300" s="39" t="s">
        <v>115</v>
      </c>
      <c r="E300" s="39" t="s">
        <v>116</v>
      </c>
    </row>
    <row r="301" spans="1:10" x14ac:dyDescent="0.2">
      <c r="A301" s="1" t="s">
        <v>55</v>
      </c>
      <c r="C301" s="65">
        <f>(1+8.16%)^0.5-1</f>
        <v>4.0000000000000036E-2</v>
      </c>
      <c r="D301" s="65">
        <f>(1+6.09%)^0.5-1</f>
        <v>3.0000000000000027E-2</v>
      </c>
      <c r="E301" s="65">
        <f>(1+4.04%)^0.5-1</f>
        <v>2.0000000000000018E-2</v>
      </c>
      <c r="F301" s="1" t="s">
        <v>117</v>
      </c>
    </row>
    <row r="302" spans="1:10" x14ac:dyDescent="0.2">
      <c r="A302" s="1" t="s">
        <v>118</v>
      </c>
      <c r="C302" s="62">
        <v>8</v>
      </c>
      <c r="D302" s="62">
        <v>8</v>
      </c>
      <c r="E302" s="62">
        <v>8</v>
      </c>
      <c r="F302" s="1" t="s">
        <v>119</v>
      </c>
    </row>
    <row r="303" spans="1:10" x14ac:dyDescent="0.2">
      <c r="A303" s="1" t="s">
        <v>120</v>
      </c>
      <c r="C303" s="66">
        <f>PV(C301,C302,C304,C305)</f>
        <v>-93.267255125049573</v>
      </c>
      <c r="D303" s="66">
        <f>PV(D301,D302,D304,D305)</f>
        <v>-99.999999999999972</v>
      </c>
      <c r="E303" s="66">
        <f>PV(E301,E302,E304,E305)</f>
        <v>-107.3254814404944</v>
      </c>
      <c r="F303" s="1" t="s">
        <v>121</v>
      </c>
    </row>
    <row r="304" spans="1:10" x14ac:dyDescent="0.2">
      <c r="A304" s="1" t="s">
        <v>122</v>
      </c>
      <c r="C304" s="62">
        <f>100*3%</f>
        <v>3</v>
      </c>
      <c r="D304" s="62">
        <f>100*3%</f>
        <v>3</v>
      </c>
      <c r="E304" s="62">
        <f>100*3%</f>
        <v>3</v>
      </c>
      <c r="F304" s="1" t="s">
        <v>123</v>
      </c>
    </row>
    <row r="305" spans="1:11" x14ac:dyDescent="0.2">
      <c r="A305" s="1" t="s">
        <v>124</v>
      </c>
      <c r="C305" s="62">
        <v>100</v>
      </c>
      <c r="D305" s="62">
        <v>100</v>
      </c>
      <c r="E305" s="62">
        <v>100</v>
      </c>
      <c r="F305" s="1" t="s">
        <v>125</v>
      </c>
      <c r="K305" s="321"/>
    </row>
    <row r="307" spans="1:11" x14ac:dyDescent="0.2">
      <c r="A307" s="1" t="s">
        <v>158</v>
      </c>
    </row>
    <row r="308" spans="1:11" x14ac:dyDescent="0.2">
      <c r="A308" s="1" t="s">
        <v>159</v>
      </c>
    </row>
    <row r="310" spans="1:11" x14ac:dyDescent="0.2">
      <c r="A310" s="1" t="s">
        <v>160</v>
      </c>
    </row>
    <row r="312" spans="1:11" x14ac:dyDescent="0.2">
      <c r="A312" s="1" t="s">
        <v>161</v>
      </c>
    </row>
    <row r="313" spans="1:11" x14ac:dyDescent="0.2">
      <c r="A313" s="1" t="s">
        <v>162</v>
      </c>
    </row>
    <row r="314" spans="1:11" x14ac:dyDescent="0.2">
      <c r="A314" s="1" t="s">
        <v>163</v>
      </c>
    </row>
    <row r="317" spans="1:11" x14ac:dyDescent="0.2">
      <c r="A317" s="1" t="s">
        <v>164</v>
      </c>
    </row>
    <row r="319" spans="1:11" x14ac:dyDescent="0.2">
      <c r="A319" s="13" t="s">
        <v>165</v>
      </c>
    </row>
    <row r="320" spans="1:11" x14ac:dyDescent="0.2">
      <c r="A320" s="13" t="s">
        <v>166</v>
      </c>
    </row>
    <row r="322" spans="1:5" x14ac:dyDescent="0.2">
      <c r="A322" s="4" t="s">
        <v>167</v>
      </c>
    </row>
    <row r="323" spans="1:5" x14ac:dyDescent="0.2">
      <c r="A323" s="1" t="s">
        <v>168</v>
      </c>
    </row>
    <row r="324" spans="1:5" x14ac:dyDescent="0.2">
      <c r="A324" s="1" t="s">
        <v>169</v>
      </c>
    </row>
    <row r="326" spans="1:5" x14ac:dyDescent="0.2">
      <c r="B326" s="37" t="s">
        <v>12</v>
      </c>
      <c r="C326" s="37" t="s">
        <v>52</v>
      </c>
    </row>
    <row r="327" spans="1:5" x14ac:dyDescent="0.2">
      <c r="A327" s="37">
        <v>0</v>
      </c>
      <c r="B327" s="76">
        <v>44197</v>
      </c>
      <c r="C327" s="37"/>
    </row>
    <row r="328" spans="1:5" x14ac:dyDescent="0.2">
      <c r="A328" s="37">
        <v>0.5</v>
      </c>
      <c r="B328" s="76">
        <v>44377</v>
      </c>
      <c r="C328" s="37">
        <v>3</v>
      </c>
    </row>
    <row r="329" spans="1:5" x14ac:dyDescent="0.2">
      <c r="A329" s="37">
        <v>1</v>
      </c>
      <c r="B329" s="76">
        <v>44561</v>
      </c>
      <c r="C329" s="37">
        <v>3</v>
      </c>
    </row>
    <row r="330" spans="1:5" x14ac:dyDescent="0.2">
      <c r="A330" s="37">
        <v>1.5</v>
      </c>
      <c r="B330" s="76">
        <v>44742</v>
      </c>
      <c r="C330" s="37">
        <v>3</v>
      </c>
    </row>
    <row r="331" spans="1:5" x14ac:dyDescent="0.2">
      <c r="A331" s="37">
        <v>2</v>
      </c>
      <c r="B331" s="37" t="s">
        <v>63</v>
      </c>
      <c r="C331" s="37">
        <v>3</v>
      </c>
    </row>
    <row r="332" spans="1:5" x14ac:dyDescent="0.2">
      <c r="A332" s="37" t="s">
        <v>63</v>
      </c>
      <c r="B332" s="37" t="s">
        <v>63</v>
      </c>
      <c r="C332" s="37">
        <v>3</v>
      </c>
    </row>
    <row r="333" spans="1:5" x14ac:dyDescent="0.2">
      <c r="A333" s="37" t="s">
        <v>63</v>
      </c>
      <c r="B333" s="37" t="s">
        <v>63</v>
      </c>
      <c r="C333" s="37">
        <v>3</v>
      </c>
    </row>
    <row r="334" spans="1:5" x14ac:dyDescent="0.2">
      <c r="A334" s="37">
        <v>8</v>
      </c>
      <c r="B334" s="76">
        <v>45657</v>
      </c>
      <c r="C334" s="37">
        <v>103</v>
      </c>
    </row>
    <row r="336" spans="1:5" x14ac:dyDescent="0.2">
      <c r="A336" s="1" t="s">
        <v>170</v>
      </c>
      <c r="E336" s="77">
        <f>NPV(2%,C328:C334)</f>
        <v>106.47199106930431</v>
      </c>
    </row>
    <row r="337" spans="1:8" x14ac:dyDescent="0.2">
      <c r="A337" s="1" t="s">
        <v>171</v>
      </c>
      <c r="E337" s="78">
        <f>NPV(3%,C328:C334)</f>
        <v>99.999999999999986</v>
      </c>
    </row>
    <row r="338" spans="1:8" x14ac:dyDescent="0.2">
      <c r="A338" s="1" t="s">
        <v>172</v>
      </c>
      <c r="E338" s="78">
        <f>NPV(4%,C328:C334)</f>
        <v>93.99794533005155</v>
      </c>
    </row>
    <row r="340" spans="1:8" x14ac:dyDescent="0.2">
      <c r="A340" s="38" t="s">
        <v>2258</v>
      </c>
      <c r="B340" s="38"/>
      <c r="C340" s="38"/>
      <c r="D340" s="38"/>
      <c r="E340" s="38"/>
      <c r="F340" s="38"/>
      <c r="G340" s="38"/>
      <c r="H340" s="38"/>
    </row>
    <row r="341" spans="1:8" x14ac:dyDescent="0.2">
      <c r="A341" s="1" t="s">
        <v>2259</v>
      </c>
    </row>
    <row r="342" spans="1:8" x14ac:dyDescent="0.2">
      <c r="A342" s="1" t="s">
        <v>2260</v>
      </c>
    </row>
    <row r="343" spans="1:8" x14ac:dyDescent="0.2">
      <c r="A343" s="1" t="s">
        <v>2261</v>
      </c>
    </row>
    <row r="345" spans="1:8" x14ac:dyDescent="0.2">
      <c r="A345" s="4" t="s">
        <v>2262</v>
      </c>
    </row>
    <row r="346" spans="1:8" x14ac:dyDescent="0.2">
      <c r="A346" s="4"/>
    </row>
    <row r="347" spans="1:8" x14ac:dyDescent="0.2">
      <c r="A347" s="4" t="s">
        <v>198</v>
      </c>
    </row>
    <row r="349" spans="1:8" x14ac:dyDescent="0.2">
      <c r="C349" s="1" t="s">
        <v>2263</v>
      </c>
      <c r="D349" s="1" t="s">
        <v>2265</v>
      </c>
      <c r="E349" s="1" t="s">
        <v>2266</v>
      </c>
      <c r="G349" s="1" t="s">
        <v>2268</v>
      </c>
    </row>
    <row r="350" spans="1:8" x14ac:dyDescent="0.2">
      <c r="A350" s="1" t="s">
        <v>35</v>
      </c>
      <c r="B350" s="1" t="s">
        <v>2270</v>
      </c>
      <c r="C350" s="1" t="s">
        <v>2264</v>
      </c>
      <c r="D350" s="1" t="s">
        <v>203</v>
      </c>
      <c r="E350" s="1" t="s">
        <v>2267</v>
      </c>
      <c r="G350" s="1" t="s">
        <v>2269</v>
      </c>
    </row>
    <row r="351" spans="1:8" x14ac:dyDescent="0.2">
      <c r="A351" s="8">
        <v>0</v>
      </c>
      <c r="B351" s="79">
        <v>43101</v>
      </c>
      <c r="C351" s="60"/>
      <c r="D351" s="60"/>
      <c r="E351" s="60"/>
      <c r="F351" s="7"/>
      <c r="G351" s="8">
        <v>500</v>
      </c>
    </row>
    <row r="352" spans="1:8" x14ac:dyDescent="0.2">
      <c r="A352" s="8">
        <f>A351+0.25</f>
        <v>0.25</v>
      </c>
      <c r="B352" s="79">
        <v>43190</v>
      </c>
      <c r="C352" s="8">
        <v>0</v>
      </c>
      <c r="D352" s="8">
        <f>8%/4*G351</f>
        <v>10</v>
      </c>
      <c r="E352" s="8">
        <f>C352+D352</f>
        <v>10</v>
      </c>
      <c r="F352" s="7"/>
      <c r="G352" s="8">
        <f>G351-C352</f>
        <v>500</v>
      </c>
    </row>
    <row r="353" spans="1:7" x14ac:dyDescent="0.2">
      <c r="A353" s="8">
        <f t="shared" ref="A353:A371" si="6">A352+0.25</f>
        <v>0.5</v>
      </c>
      <c r="B353" s="79">
        <v>43281</v>
      </c>
      <c r="C353" s="8">
        <v>0</v>
      </c>
      <c r="D353" s="8">
        <f t="shared" ref="D353:D368" si="7">8%/4*G352</f>
        <v>10</v>
      </c>
      <c r="E353" s="8">
        <f t="shared" ref="E353:E371" si="8">C353+D353</f>
        <v>10</v>
      </c>
      <c r="F353" s="7"/>
      <c r="G353" s="8">
        <f t="shared" ref="G353:G371" si="9">G352-C353</f>
        <v>500</v>
      </c>
    </row>
    <row r="354" spans="1:7" x14ac:dyDescent="0.2">
      <c r="A354" s="8">
        <f t="shared" si="6"/>
        <v>0.75</v>
      </c>
      <c r="B354" s="79">
        <v>43373</v>
      </c>
      <c r="C354" s="8">
        <v>0</v>
      </c>
      <c r="D354" s="8">
        <f t="shared" si="7"/>
        <v>10</v>
      </c>
      <c r="E354" s="8">
        <f t="shared" si="8"/>
        <v>10</v>
      </c>
      <c r="F354" s="7"/>
      <c r="G354" s="8">
        <f t="shared" si="9"/>
        <v>500</v>
      </c>
    </row>
    <row r="355" spans="1:7" x14ac:dyDescent="0.2">
      <c r="A355" s="8">
        <f t="shared" si="6"/>
        <v>1</v>
      </c>
      <c r="B355" s="79">
        <v>43465</v>
      </c>
      <c r="C355" s="8">
        <v>0</v>
      </c>
      <c r="D355" s="8">
        <f t="shared" si="7"/>
        <v>10</v>
      </c>
      <c r="E355" s="8">
        <f t="shared" si="8"/>
        <v>10</v>
      </c>
      <c r="F355" s="7"/>
      <c r="G355" s="8">
        <f t="shared" si="9"/>
        <v>500</v>
      </c>
    </row>
    <row r="356" spans="1:7" x14ac:dyDescent="0.2">
      <c r="A356" s="8">
        <f t="shared" si="6"/>
        <v>1.25</v>
      </c>
      <c r="B356" s="79">
        <v>43555</v>
      </c>
      <c r="C356" s="8">
        <v>0</v>
      </c>
      <c r="D356" s="8">
        <f t="shared" si="7"/>
        <v>10</v>
      </c>
      <c r="E356" s="8">
        <f t="shared" si="8"/>
        <v>10</v>
      </c>
      <c r="F356" s="7"/>
      <c r="G356" s="8">
        <f t="shared" si="9"/>
        <v>500</v>
      </c>
    </row>
    <row r="357" spans="1:7" x14ac:dyDescent="0.2">
      <c r="A357" s="8">
        <f t="shared" si="6"/>
        <v>1.5</v>
      </c>
      <c r="B357" s="79">
        <v>43646</v>
      </c>
      <c r="C357" s="8">
        <v>0</v>
      </c>
      <c r="D357" s="8">
        <f t="shared" si="7"/>
        <v>10</v>
      </c>
      <c r="E357" s="8">
        <f t="shared" si="8"/>
        <v>10</v>
      </c>
      <c r="F357" s="7"/>
      <c r="G357" s="8">
        <f t="shared" si="9"/>
        <v>500</v>
      </c>
    </row>
    <row r="358" spans="1:7" x14ac:dyDescent="0.2">
      <c r="A358" s="8">
        <f t="shared" si="6"/>
        <v>1.75</v>
      </c>
      <c r="B358" s="79">
        <v>43738</v>
      </c>
      <c r="C358" s="8">
        <v>0</v>
      </c>
      <c r="D358" s="8">
        <f t="shared" si="7"/>
        <v>10</v>
      </c>
      <c r="E358" s="8">
        <f t="shared" si="8"/>
        <v>10</v>
      </c>
      <c r="F358" s="7"/>
      <c r="G358" s="8">
        <f t="shared" si="9"/>
        <v>500</v>
      </c>
    </row>
    <row r="359" spans="1:7" x14ac:dyDescent="0.2">
      <c r="A359" s="8">
        <f t="shared" si="6"/>
        <v>2</v>
      </c>
      <c r="B359" s="79">
        <v>43830</v>
      </c>
      <c r="C359" s="8">
        <v>0</v>
      </c>
      <c r="D359" s="8">
        <f t="shared" si="7"/>
        <v>10</v>
      </c>
      <c r="E359" s="8">
        <f t="shared" si="8"/>
        <v>10</v>
      </c>
      <c r="F359" s="7"/>
      <c r="G359" s="8">
        <f t="shared" si="9"/>
        <v>500</v>
      </c>
    </row>
    <row r="360" spans="1:7" x14ac:dyDescent="0.2">
      <c r="A360" s="8">
        <f t="shared" si="6"/>
        <v>2.25</v>
      </c>
      <c r="B360" s="79">
        <v>43921</v>
      </c>
      <c r="C360" s="8">
        <v>0</v>
      </c>
      <c r="D360" s="8">
        <f t="shared" si="7"/>
        <v>10</v>
      </c>
      <c r="E360" s="8">
        <f t="shared" si="8"/>
        <v>10</v>
      </c>
      <c r="F360" s="7"/>
      <c r="G360" s="8">
        <f t="shared" si="9"/>
        <v>500</v>
      </c>
    </row>
    <row r="361" spans="1:7" x14ac:dyDescent="0.2">
      <c r="A361" s="8">
        <f t="shared" si="6"/>
        <v>2.5</v>
      </c>
      <c r="B361" s="79">
        <v>44012</v>
      </c>
      <c r="C361" s="8">
        <v>0</v>
      </c>
      <c r="D361" s="8">
        <f t="shared" si="7"/>
        <v>10</v>
      </c>
      <c r="E361" s="8">
        <f t="shared" si="8"/>
        <v>10</v>
      </c>
      <c r="F361" s="7"/>
      <c r="G361" s="8">
        <f t="shared" si="9"/>
        <v>500</v>
      </c>
    </row>
    <row r="362" spans="1:7" x14ac:dyDescent="0.2">
      <c r="A362" s="8">
        <f t="shared" si="6"/>
        <v>2.75</v>
      </c>
      <c r="B362" s="79">
        <v>44104</v>
      </c>
      <c r="C362" s="8">
        <v>0</v>
      </c>
      <c r="D362" s="8">
        <f t="shared" si="7"/>
        <v>10</v>
      </c>
      <c r="E362" s="8">
        <f t="shared" si="8"/>
        <v>10</v>
      </c>
      <c r="F362" s="7"/>
      <c r="G362" s="8">
        <f t="shared" si="9"/>
        <v>500</v>
      </c>
    </row>
    <row r="363" spans="1:7" x14ac:dyDescent="0.2">
      <c r="A363" s="8">
        <f t="shared" si="6"/>
        <v>3</v>
      </c>
      <c r="B363" s="79">
        <v>44196</v>
      </c>
      <c r="C363" s="8">
        <v>0</v>
      </c>
      <c r="D363" s="8">
        <f t="shared" si="7"/>
        <v>10</v>
      </c>
      <c r="E363" s="8">
        <f t="shared" si="8"/>
        <v>10</v>
      </c>
      <c r="F363" s="7"/>
      <c r="G363" s="8">
        <f t="shared" si="9"/>
        <v>500</v>
      </c>
    </row>
    <row r="364" spans="1:7" x14ac:dyDescent="0.2">
      <c r="A364" s="8">
        <f t="shared" si="6"/>
        <v>3.25</v>
      </c>
      <c r="B364" s="79">
        <v>44286</v>
      </c>
      <c r="C364" s="8">
        <v>0</v>
      </c>
      <c r="D364" s="8">
        <f t="shared" si="7"/>
        <v>10</v>
      </c>
      <c r="E364" s="8">
        <f t="shared" si="8"/>
        <v>10</v>
      </c>
      <c r="F364" s="7"/>
      <c r="G364" s="8">
        <f t="shared" si="9"/>
        <v>500</v>
      </c>
    </row>
    <row r="365" spans="1:7" x14ac:dyDescent="0.2">
      <c r="A365" s="8">
        <f t="shared" si="6"/>
        <v>3.5</v>
      </c>
      <c r="B365" s="79">
        <v>44377</v>
      </c>
      <c r="C365" s="8">
        <v>0</v>
      </c>
      <c r="D365" s="8">
        <f t="shared" si="7"/>
        <v>10</v>
      </c>
      <c r="E365" s="8">
        <f t="shared" si="8"/>
        <v>10</v>
      </c>
      <c r="F365" s="7"/>
      <c r="G365" s="8">
        <f t="shared" si="9"/>
        <v>500</v>
      </c>
    </row>
    <row r="366" spans="1:7" x14ac:dyDescent="0.2">
      <c r="A366" s="8">
        <f t="shared" si="6"/>
        <v>3.75</v>
      </c>
      <c r="B366" s="79">
        <v>44469</v>
      </c>
      <c r="C366" s="8">
        <v>0</v>
      </c>
      <c r="D366" s="8">
        <f t="shared" si="7"/>
        <v>10</v>
      </c>
      <c r="E366" s="8">
        <f t="shared" si="8"/>
        <v>10</v>
      </c>
      <c r="F366" s="7"/>
      <c r="G366" s="8">
        <f t="shared" si="9"/>
        <v>500</v>
      </c>
    </row>
    <row r="367" spans="1:7" x14ac:dyDescent="0.2">
      <c r="A367" s="8">
        <f t="shared" si="6"/>
        <v>4</v>
      </c>
      <c r="B367" s="79">
        <v>44561</v>
      </c>
      <c r="C367" s="8">
        <v>0</v>
      </c>
      <c r="D367" s="8">
        <f t="shared" si="7"/>
        <v>10</v>
      </c>
      <c r="E367" s="8">
        <f t="shared" si="8"/>
        <v>10</v>
      </c>
      <c r="F367" s="7"/>
      <c r="G367" s="8">
        <f t="shared" si="9"/>
        <v>500</v>
      </c>
    </row>
    <row r="368" spans="1:7" x14ac:dyDescent="0.2">
      <c r="A368" s="473">
        <f t="shared" si="6"/>
        <v>4.25</v>
      </c>
      <c r="B368" s="474">
        <v>44651</v>
      </c>
      <c r="C368" s="8">
        <f>500/4</f>
        <v>125</v>
      </c>
      <c r="D368" s="8">
        <f t="shared" si="7"/>
        <v>10</v>
      </c>
      <c r="E368" s="8">
        <f t="shared" si="8"/>
        <v>135</v>
      </c>
      <c r="F368" s="7"/>
      <c r="G368" s="8">
        <f t="shared" si="9"/>
        <v>375</v>
      </c>
    </row>
    <row r="369" spans="1:8" x14ac:dyDescent="0.2">
      <c r="A369" s="473">
        <f t="shared" si="6"/>
        <v>4.5</v>
      </c>
      <c r="B369" s="474">
        <v>44742</v>
      </c>
      <c r="C369" s="8">
        <f>500/4</f>
        <v>125</v>
      </c>
      <c r="D369" s="8">
        <f>8%/4*G368</f>
        <v>7.5</v>
      </c>
      <c r="E369" s="8">
        <f t="shared" si="8"/>
        <v>132.5</v>
      </c>
      <c r="F369" s="7"/>
      <c r="G369" s="8">
        <f t="shared" si="9"/>
        <v>250</v>
      </c>
    </row>
    <row r="370" spans="1:8" x14ac:dyDescent="0.2">
      <c r="A370" s="473">
        <f>A369+0.25</f>
        <v>4.75</v>
      </c>
      <c r="B370" s="474">
        <v>44834</v>
      </c>
      <c r="C370" s="8">
        <f>500/4</f>
        <v>125</v>
      </c>
      <c r="D370" s="8">
        <f>8%/4*G369</f>
        <v>5</v>
      </c>
      <c r="E370" s="8">
        <f t="shared" si="8"/>
        <v>130</v>
      </c>
      <c r="F370" s="7"/>
      <c r="G370" s="8">
        <f t="shared" si="9"/>
        <v>125</v>
      </c>
    </row>
    <row r="371" spans="1:8" x14ac:dyDescent="0.2">
      <c r="A371" s="473">
        <f t="shared" si="6"/>
        <v>5</v>
      </c>
      <c r="B371" s="474">
        <v>44926</v>
      </c>
      <c r="C371" s="8">
        <f>500/4</f>
        <v>125</v>
      </c>
      <c r="D371" s="8">
        <f>8%/4*G370</f>
        <v>2.5</v>
      </c>
      <c r="E371" s="8">
        <f t="shared" si="8"/>
        <v>127.5</v>
      </c>
      <c r="F371" s="7"/>
      <c r="G371" s="8">
        <f t="shared" si="9"/>
        <v>0</v>
      </c>
    </row>
    <row r="373" spans="1:8" x14ac:dyDescent="0.2">
      <c r="B373" s="1" t="s">
        <v>2271</v>
      </c>
      <c r="E373" s="332">
        <f>(1+12.550881%)^0.25-1</f>
        <v>3.0000000000000027E-2</v>
      </c>
      <c r="F373" s="1" t="s">
        <v>2279</v>
      </c>
    </row>
    <row r="375" spans="1:8" x14ac:dyDescent="0.2">
      <c r="B375" s="1" t="s">
        <v>1611</v>
      </c>
      <c r="E375" s="26">
        <f>NPV(E373,E352:E371)</f>
        <v>429.84886810247122</v>
      </c>
      <c r="F375" s="1" t="s">
        <v>2280</v>
      </c>
    </row>
    <row r="377" spans="1:8" x14ac:dyDescent="0.2">
      <c r="A377" s="1" t="s">
        <v>3240</v>
      </c>
    </row>
    <row r="378" spans="1:8" x14ac:dyDescent="0.2">
      <c r="A378" s="1" t="s">
        <v>3241</v>
      </c>
    </row>
    <row r="380" spans="1:8" x14ac:dyDescent="0.2">
      <c r="A380" s="38" t="s">
        <v>3257</v>
      </c>
      <c r="B380" s="38"/>
      <c r="C380" s="38"/>
      <c r="D380" s="38"/>
      <c r="E380" s="38"/>
      <c r="F380" s="38"/>
      <c r="G380" s="38"/>
      <c r="H380" s="38"/>
    </row>
    <row r="381" spans="1:8" x14ac:dyDescent="0.2">
      <c r="A381" s="81" t="s">
        <v>3256</v>
      </c>
      <c r="B381" s="38"/>
      <c r="C381" s="38"/>
      <c r="D381" s="38"/>
      <c r="E381" s="38"/>
      <c r="F381" s="38"/>
      <c r="G381" s="38"/>
      <c r="H381" s="38"/>
    </row>
    <row r="383" spans="1:8" x14ac:dyDescent="0.2">
      <c r="A383" s="1" t="s">
        <v>2281</v>
      </c>
    </row>
    <row r="384" spans="1:8" x14ac:dyDescent="0.2">
      <c r="A384" s="1" t="s">
        <v>2282</v>
      </c>
    </row>
    <row r="385" spans="1:7" x14ac:dyDescent="0.2">
      <c r="A385" s="1" t="s">
        <v>2283</v>
      </c>
    </row>
    <row r="386" spans="1:7" x14ac:dyDescent="0.2">
      <c r="A386" s="1" t="s">
        <v>2284</v>
      </c>
    </row>
    <row r="387" spans="1:7" x14ac:dyDescent="0.2">
      <c r="A387" s="1" t="s">
        <v>2285</v>
      </c>
    </row>
    <row r="389" spans="1:7" x14ac:dyDescent="0.2">
      <c r="A389" s="1" t="s">
        <v>198</v>
      </c>
    </row>
    <row r="391" spans="1:7" x14ac:dyDescent="0.2">
      <c r="A391" s="1" t="s">
        <v>2291</v>
      </c>
    </row>
    <row r="393" spans="1:7" x14ac:dyDescent="0.2">
      <c r="B393" s="1" t="s">
        <v>12</v>
      </c>
      <c r="C393" s="1" t="s">
        <v>304</v>
      </c>
      <c r="D393" s="1" t="s">
        <v>203</v>
      </c>
      <c r="E393" s="1" t="s">
        <v>460</v>
      </c>
      <c r="F393" s="1" t="s">
        <v>2241</v>
      </c>
    </row>
    <row r="394" spans="1:7" x14ac:dyDescent="0.2">
      <c r="A394" s="8" t="s">
        <v>2286</v>
      </c>
      <c r="B394" s="79">
        <v>44713</v>
      </c>
      <c r="C394" s="8"/>
      <c r="D394" s="7"/>
      <c r="E394" s="8"/>
      <c r="F394" s="8">
        <v>100</v>
      </c>
      <c r="G394" s="1" t="s">
        <v>3242</v>
      </c>
    </row>
    <row r="395" spans="1:7" x14ac:dyDescent="0.2">
      <c r="A395" s="8"/>
      <c r="B395" s="79">
        <v>44805</v>
      </c>
      <c r="C395" s="8"/>
      <c r="D395" s="8">
        <f>10%/2*F394</f>
        <v>5</v>
      </c>
      <c r="E395" s="8">
        <f>C395+D395</f>
        <v>5</v>
      </c>
      <c r="F395" s="8">
        <f>F394-C395</f>
        <v>100</v>
      </c>
    </row>
    <row r="396" spans="1:7" x14ac:dyDescent="0.2">
      <c r="A396" s="8"/>
      <c r="B396" s="79">
        <v>44986</v>
      </c>
      <c r="C396" s="8"/>
      <c r="D396" s="8">
        <f t="shared" ref="D396:D405" si="10">10%/2*F395</f>
        <v>5</v>
      </c>
      <c r="E396" s="8">
        <f t="shared" ref="E396:E405" si="11">C396+D396</f>
        <v>5</v>
      </c>
      <c r="F396" s="8">
        <f t="shared" ref="F396:F405" si="12">F395-C396</f>
        <v>100</v>
      </c>
    </row>
    <row r="397" spans="1:7" x14ac:dyDescent="0.2">
      <c r="A397" s="8"/>
      <c r="B397" s="79">
        <v>45170</v>
      </c>
      <c r="C397" s="8"/>
      <c r="D397" s="8">
        <f t="shared" si="10"/>
        <v>5</v>
      </c>
      <c r="E397" s="8">
        <f t="shared" si="11"/>
        <v>5</v>
      </c>
      <c r="F397" s="8">
        <f t="shared" si="12"/>
        <v>100</v>
      </c>
    </row>
    <row r="398" spans="1:7" x14ac:dyDescent="0.2">
      <c r="A398" s="8"/>
      <c r="B398" s="79">
        <v>45352</v>
      </c>
      <c r="C398" s="8"/>
      <c r="D398" s="8">
        <f t="shared" si="10"/>
        <v>5</v>
      </c>
      <c r="E398" s="8">
        <f t="shared" si="11"/>
        <v>5</v>
      </c>
      <c r="F398" s="8">
        <f t="shared" si="12"/>
        <v>100</v>
      </c>
    </row>
    <row r="399" spans="1:7" x14ac:dyDescent="0.2">
      <c r="A399" s="8" t="s">
        <v>2287</v>
      </c>
      <c r="B399" s="79">
        <v>45536</v>
      </c>
      <c r="C399" s="8">
        <f>100/4</f>
        <v>25</v>
      </c>
      <c r="D399" s="8">
        <f t="shared" si="10"/>
        <v>5</v>
      </c>
      <c r="E399" s="8">
        <f t="shared" si="11"/>
        <v>30</v>
      </c>
      <c r="F399" s="8">
        <f t="shared" si="12"/>
        <v>75</v>
      </c>
    </row>
    <row r="400" spans="1:7" x14ac:dyDescent="0.2">
      <c r="A400" s="8"/>
      <c r="B400" s="79">
        <v>45717</v>
      </c>
      <c r="C400" s="8"/>
      <c r="D400" s="8">
        <f t="shared" si="10"/>
        <v>3.75</v>
      </c>
      <c r="E400" s="8">
        <f t="shared" si="11"/>
        <v>3.75</v>
      </c>
      <c r="F400" s="8">
        <f t="shared" si="12"/>
        <v>75</v>
      </c>
    </row>
    <row r="401" spans="1:6" x14ac:dyDescent="0.2">
      <c r="A401" s="8" t="s">
        <v>2288</v>
      </c>
      <c r="B401" s="79">
        <v>45901</v>
      </c>
      <c r="C401" s="8">
        <f>100/4</f>
        <v>25</v>
      </c>
      <c r="D401" s="8">
        <f t="shared" si="10"/>
        <v>3.75</v>
      </c>
      <c r="E401" s="8">
        <f t="shared" si="11"/>
        <v>28.75</v>
      </c>
      <c r="F401" s="8">
        <f t="shared" si="12"/>
        <v>50</v>
      </c>
    </row>
    <row r="402" spans="1:6" x14ac:dyDescent="0.2">
      <c r="A402" s="8"/>
      <c r="B402" s="79">
        <v>46082</v>
      </c>
      <c r="C402" s="8"/>
      <c r="D402" s="8">
        <f t="shared" si="10"/>
        <v>2.5</v>
      </c>
      <c r="E402" s="8">
        <f t="shared" si="11"/>
        <v>2.5</v>
      </c>
      <c r="F402" s="8">
        <f t="shared" si="12"/>
        <v>50</v>
      </c>
    </row>
    <row r="403" spans="1:6" x14ac:dyDescent="0.2">
      <c r="A403" s="8" t="s">
        <v>2289</v>
      </c>
      <c r="B403" s="79">
        <v>46266</v>
      </c>
      <c r="C403" s="8">
        <f>100/4</f>
        <v>25</v>
      </c>
      <c r="D403" s="8">
        <f t="shared" si="10"/>
        <v>2.5</v>
      </c>
      <c r="E403" s="8">
        <f t="shared" si="11"/>
        <v>27.5</v>
      </c>
      <c r="F403" s="8">
        <f t="shared" si="12"/>
        <v>25</v>
      </c>
    </row>
    <row r="404" spans="1:6" x14ac:dyDescent="0.2">
      <c r="A404" s="8"/>
      <c r="B404" s="79">
        <v>46447</v>
      </c>
      <c r="C404" s="8"/>
      <c r="D404" s="8">
        <f t="shared" si="10"/>
        <v>1.25</v>
      </c>
      <c r="E404" s="8">
        <f t="shared" si="11"/>
        <v>1.25</v>
      </c>
      <c r="F404" s="8">
        <f t="shared" si="12"/>
        <v>25</v>
      </c>
    </row>
    <row r="405" spans="1:6" x14ac:dyDescent="0.2">
      <c r="A405" s="8" t="s">
        <v>2290</v>
      </c>
      <c r="B405" s="79">
        <v>46631</v>
      </c>
      <c r="C405" s="8">
        <f>100/4</f>
        <v>25</v>
      </c>
      <c r="D405" s="8">
        <f t="shared" si="10"/>
        <v>1.25</v>
      </c>
      <c r="E405" s="8">
        <f t="shared" si="11"/>
        <v>26.25</v>
      </c>
      <c r="F405" s="8">
        <f t="shared" si="12"/>
        <v>0</v>
      </c>
    </row>
    <row r="406" spans="1:6" x14ac:dyDescent="0.2">
      <c r="A406" s="8"/>
      <c r="B406" s="8"/>
    </row>
    <row r="407" spans="1:6" x14ac:dyDescent="0.2">
      <c r="B407" s="1" t="s">
        <v>2292</v>
      </c>
      <c r="E407" s="43">
        <v>6.0900000000000003E-2</v>
      </c>
    </row>
    <row r="408" spans="1:6" x14ac:dyDescent="0.2">
      <c r="B408" s="1" t="s">
        <v>2293</v>
      </c>
      <c r="E408" s="43">
        <f>(1+E407)^0.5-1</f>
        <v>3.0000000000000027E-2</v>
      </c>
    </row>
    <row r="410" spans="1:6" x14ac:dyDescent="0.2">
      <c r="B410" s="1" t="s">
        <v>2294</v>
      </c>
      <c r="E410" s="122">
        <f>NPV(E408,E395:E405)</f>
        <v>113.92436158883486</v>
      </c>
    </row>
    <row r="412" spans="1:6" x14ac:dyDescent="0.2">
      <c r="B412" s="1" t="s">
        <v>2295</v>
      </c>
    </row>
    <row r="413" spans="1:6" x14ac:dyDescent="0.2">
      <c r="B413" s="1" t="s">
        <v>2296</v>
      </c>
    </row>
    <row r="414" spans="1:6" x14ac:dyDescent="0.2">
      <c r="B414" s="1" t="s">
        <v>2297</v>
      </c>
    </row>
    <row r="415" spans="1:6" x14ac:dyDescent="0.2">
      <c r="B415" s="1" t="s">
        <v>2298</v>
      </c>
    </row>
    <row r="416" spans="1:6" x14ac:dyDescent="0.2">
      <c r="B416" s="1" t="s">
        <v>2299</v>
      </c>
    </row>
    <row r="417" spans="2:6" x14ac:dyDescent="0.2">
      <c r="B417" s="1" t="s">
        <v>2300</v>
      </c>
    </row>
    <row r="418" spans="2:6" x14ac:dyDescent="0.2">
      <c r="B418" s="1" t="s">
        <v>2301</v>
      </c>
    </row>
    <row r="420" spans="2:6" x14ac:dyDescent="0.2">
      <c r="B420" s="1" t="s">
        <v>2302</v>
      </c>
    </row>
    <row r="422" spans="2:6" x14ac:dyDescent="0.2">
      <c r="B422" s="1" t="s">
        <v>2303</v>
      </c>
    </row>
    <row r="424" spans="2:6" x14ac:dyDescent="0.2">
      <c r="B424" s="333">
        <f>E410*(1+E407)^(3/12)</f>
        <v>115.62059923874421</v>
      </c>
      <c r="E424" s="1" t="s">
        <v>2304</v>
      </c>
    </row>
    <row r="425" spans="2:6" x14ac:dyDescent="0.2">
      <c r="B425" s="1" t="s">
        <v>287</v>
      </c>
    </row>
    <row r="427" spans="2:6" x14ac:dyDescent="0.2">
      <c r="B427" s="1" t="s">
        <v>2305</v>
      </c>
    </row>
    <row r="428" spans="2:6" x14ac:dyDescent="0.2">
      <c r="B428" s="1" t="s">
        <v>2306</v>
      </c>
    </row>
    <row r="430" spans="2:6" x14ac:dyDescent="0.2">
      <c r="F430" s="1" t="s">
        <v>2918</v>
      </c>
    </row>
    <row r="431" spans="2:6" x14ac:dyDescent="0.2">
      <c r="E431" s="1" t="s">
        <v>3246</v>
      </c>
    </row>
    <row r="433" spans="1:7" x14ac:dyDescent="0.2">
      <c r="F433" s="121" t="s">
        <v>2831</v>
      </c>
    </row>
    <row r="434" spans="1:7" x14ac:dyDescent="0.2">
      <c r="E434" s="76">
        <v>44805</v>
      </c>
      <c r="F434" s="320">
        <v>44713</v>
      </c>
      <c r="G434" s="24">
        <v>44621</v>
      </c>
    </row>
    <row r="435" spans="1:7" x14ac:dyDescent="0.2">
      <c r="F435" s="121"/>
    </row>
    <row r="436" spans="1:7" x14ac:dyDescent="0.2">
      <c r="F436" s="437">
        <f>G436*1.0609^0.25</f>
        <v>115.61617270953057</v>
      </c>
      <c r="G436" s="37">
        <v>113.92</v>
      </c>
    </row>
    <row r="437" spans="1:7" x14ac:dyDescent="0.2">
      <c r="C437" s="1" t="s">
        <v>3243</v>
      </c>
      <c r="F437" s="37"/>
    </row>
    <row r="438" spans="1:7" x14ac:dyDescent="0.2">
      <c r="C438" s="1" t="s">
        <v>3244</v>
      </c>
    </row>
    <row r="439" spans="1:7" x14ac:dyDescent="0.2">
      <c r="C439" s="1" t="s">
        <v>3245</v>
      </c>
    </row>
    <row r="441" spans="1:7" x14ac:dyDescent="0.2">
      <c r="A441" s="1" t="s">
        <v>3247</v>
      </c>
    </row>
    <row r="443" spans="1:7" x14ac:dyDescent="0.2">
      <c r="D443" s="44">
        <v>6.0900000000000003E-2</v>
      </c>
      <c r="E443" s="1" t="s">
        <v>117</v>
      </c>
    </row>
    <row r="444" spans="1:7" x14ac:dyDescent="0.2">
      <c r="D444" s="37">
        <v>0.25</v>
      </c>
      <c r="E444" s="1" t="s">
        <v>119</v>
      </c>
    </row>
    <row r="445" spans="1:7" x14ac:dyDescent="0.2">
      <c r="D445" s="37">
        <v>0</v>
      </c>
      <c r="E445" s="1" t="s">
        <v>123</v>
      </c>
    </row>
    <row r="446" spans="1:7" x14ac:dyDescent="0.2">
      <c r="D446" s="37">
        <v>-113.92</v>
      </c>
      <c r="E446" s="1" t="s">
        <v>121</v>
      </c>
    </row>
    <row r="447" spans="1:7" x14ac:dyDescent="0.2">
      <c r="D447" s="437">
        <f>FV(D443,D444,D445,D446)</f>
        <v>115.61617270953057</v>
      </c>
      <c r="E447" s="1" t="s">
        <v>125</v>
      </c>
    </row>
    <row r="448" spans="1:7" ht="17" thickBot="1" x14ac:dyDescent="0.25"/>
    <row r="449" spans="1:8" x14ac:dyDescent="0.2">
      <c r="A449" s="57" t="s">
        <v>1593</v>
      </c>
      <c r="B449" s="17"/>
      <c r="C449" s="17"/>
      <c r="D449" s="17"/>
      <c r="E449" s="17"/>
      <c r="F449" s="17"/>
      <c r="G449" s="17"/>
      <c r="H449" s="18"/>
    </row>
    <row r="450" spans="1:8" x14ac:dyDescent="0.2">
      <c r="A450" s="19" t="s">
        <v>3248</v>
      </c>
      <c r="H450" s="20"/>
    </row>
    <row r="451" spans="1:8" x14ac:dyDescent="0.2">
      <c r="A451" s="19" t="s">
        <v>3249</v>
      </c>
      <c r="H451" s="20"/>
    </row>
    <row r="452" spans="1:8" x14ac:dyDescent="0.2">
      <c r="A452" s="475" t="s">
        <v>3250</v>
      </c>
      <c r="H452" s="20"/>
    </row>
    <row r="453" spans="1:8" x14ac:dyDescent="0.2">
      <c r="A453" s="475" t="s">
        <v>3251</v>
      </c>
      <c r="H453" s="20"/>
    </row>
    <row r="454" spans="1:8" x14ac:dyDescent="0.2">
      <c r="A454" s="19" t="s">
        <v>3252</v>
      </c>
      <c r="H454" s="20"/>
    </row>
    <row r="455" spans="1:8" x14ac:dyDescent="0.2">
      <c r="A455" s="475" t="s">
        <v>3253</v>
      </c>
      <c r="H455" s="20"/>
    </row>
    <row r="456" spans="1:8" x14ac:dyDescent="0.2">
      <c r="A456" s="19" t="s">
        <v>3254</v>
      </c>
      <c r="H456" s="20"/>
    </row>
    <row r="457" spans="1:8" ht="17" thickBot="1" x14ac:dyDescent="0.25">
      <c r="A457" s="21" t="s">
        <v>3255</v>
      </c>
      <c r="B457" s="22"/>
      <c r="C457" s="22"/>
      <c r="D457" s="22"/>
      <c r="E457" s="22"/>
      <c r="F457" s="22"/>
      <c r="G457" s="22"/>
      <c r="H457" s="23"/>
    </row>
    <row r="460" spans="1:8" x14ac:dyDescent="0.2">
      <c r="A460" s="38" t="s">
        <v>2307</v>
      </c>
      <c r="B460" s="38"/>
      <c r="C460" s="38"/>
      <c r="D460" s="38"/>
      <c r="E460" s="38"/>
      <c r="F460" s="38" t="s">
        <v>225</v>
      </c>
      <c r="G460" s="38"/>
      <c r="H460" s="38"/>
    </row>
    <row r="462" spans="1:8" x14ac:dyDescent="0.2">
      <c r="A462" s="1" t="s">
        <v>2310</v>
      </c>
    </row>
    <row r="463" spans="1:8" x14ac:dyDescent="0.2">
      <c r="A463" s="1" t="s">
        <v>2311</v>
      </c>
    </row>
    <row r="464" spans="1:8" x14ac:dyDescent="0.2">
      <c r="A464" s="1" t="s">
        <v>2308</v>
      </c>
    </row>
    <row r="465" spans="1:8" ht="17" thickBot="1" x14ac:dyDescent="0.25"/>
    <row r="466" spans="1:8" ht="17" thickBot="1" x14ac:dyDescent="0.25">
      <c r="A466" s="336" t="s">
        <v>2309</v>
      </c>
      <c r="B466" s="150"/>
      <c r="C466" s="150"/>
      <c r="D466" s="150"/>
      <c r="E466" s="150"/>
      <c r="F466" s="150"/>
      <c r="G466" s="150"/>
      <c r="H466" s="151"/>
    </row>
    <row r="468" spans="1:8" x14ac:dyDescent="0.2">
      <c r="A468" s="225"/>
      <c r="B468" s="224" t="s">
        <v>12</v>
      </c>
      <c r="C468" s="224" t="s">
        <v>304</v>
      </c>
      <c r="D468" s="224" t="s">
        <v>203</v>
      </c>
      <c r="E468" s="224" t="s">
        <v>460</v>
      </c>
      <c r="F468" s="224" t="s">
        <v>2241</v>
      </c>
    </row>
    <row r="469" spans="1:8" x14ac:dyDescent="0.2">
      <c r="A469" s="224" t="s">
        <v>2312</v>
      </c>
      <c r="B469" s="334">
        <v>44562</v>
      </c>
      <c r="C469" s="225"/>
      <c r="D469" s="225"/>
      <c r="E469" s="225"/>
      <c r="F469" s="225">
        <v>100</v>
      </c>
    </row>
    <row r="470" spans="1:8" x14ac:dyDescent="0.2">
      <c r="A470" s="225"/>
      <c r="B470" s="334">
        <v>44742</v>
      </c>
      <c r="C470" s="225"/>
      <c r="D470" s="225">
        <f>5%*F469</f>
        <v>5</v>
      </c>
      <c r="E470" s="335">
        <f>C470+D470</f>
        <v>5</v>
      </c>
      <c r="F470" s="225">
        <f>F469-C470</f>
        <v>100</v>
      </c>
    </row>
    <row r="471" spans="1:8" x14ac:dyDescent="0.2">
      <c r="A471" s="225"/>
      <c r="B471" s="334">
        <v>44926</v>
      </c>
      <c r="C471" s="225">
        <v>20</v>
      </c>
      <c r="D471" s="225">
        <f t="shared" ref="D471:D479" si="13">5%*F470</f>
        <v>5</v>
      </c>
      <c r="E471" s="335">
        <f t="shared" ref="E471:E479" si="14">C471+D471</f>
        <v>25</v>
      </c>
      <c r="F471" s="225">
        <f t="shared" ref="F471:F479" si="15">F470-C471</f>
        <v>80</v>
      </c>
    </row>
    <row r="472" spans="1:8" x14ac:dyDescent="0.2">
      <c r="A472" s="225"/>
      <c r="B472" s="334">
        <v>45107</v>
      </c>
      <c r="C472" s="225"/>
      <c r="D472" s="225">
        <f t="shared" si="13"/>
        <v>4</v>
      </c>
      <c r="E472" s="335">
        <f t="shared" si="14"/>
        <v>4</v>
      </c>
      <c r="F472" s="225">
        <f t="shared" si="15"/>
        <v>80</v>
      </c>
    </row>
    <row r="473" spans="1:8" x14ac:dyDescent="0.2">
      <c r="A473" s="225"/>
      <c r="B473" s="334">
        <v>45291</v>
      </c>
      <c r="C473" s="225">
        <v>20</v>
      </c>
      <c r="D473" s="225">
        <f t="shared" si="13"/>
        <v>4</v>
      </c>
      <c r="E473" s="335">
        <f t="shared" si="14"/>
        <v>24</v>
      </c>
      <c r="F473" s="225">
        <f t="shared" si="15"/>
        <v>60</v>
      </c>
    </row>
    <row r="474" spans="1:8" x14ac:dyDescent="0.2">
      <c r="A474" s="224" t="s">
        <v>2287</v>
      </c>
      <c r="B474" s="334">
        <v>45473</v>
      </c>
      <c r="C474" s="225"/>
      <c r="D474" s="225">
        <f t="shared" si="13"/>
        <v>3</v>
      </c>
      <c r="E474" s="335">
        <f t="shared" si="14"/>
        <v>3</v>
      </c>
      <c r="F474" s="225">
        <f t="shared" si="15"/>
        <v>60</v>
      </c>
    </row>
    <row r="475" spans="1:8" x14ac:dyDescent="0.2">
      <c r="A475" s="225"/>
      <c r="B475" s="334">
        <v>45657</v>
      </c>
      <c r="C475" s="225">
        <v>20</v>
      </c>
      <c r="D475" s="225">
        <f t="shared" si="13"/>
        <v>3</v>
      </c>
      <c r="E475" s="335">
        <f t="shared" si="14"/>
        <v>23</v>
      </c>
      <c r="F475" s="225">
        <f t="shared" si="15"/>
        <v>40</v>
      </c>
    </row>
    <row r="476" spans="1:8" x14ac:dyDescent="0.2">
      <c r="A476" s="224" t="s">
        <v>2288</v>
      </c>
      <c r="B476" s="334">
        <v>45838</v>
      </c>
      <c r="C476" s="225"/>
      <c r="D476" s="225">
        <f t="shared" si="13"/>
        <v>2</v>
      </c>
      <c r="E476" s="335">
        <f t="shared" si="14"/>
        <v>2</v>
      </c>
      <c r="F476" s="225">
        <f t="shared" si="15"/>
        <v>40</v>
      </c>
    </row>
    <row r="477" spans="1:8" x14ac:dyDescent="0.2">
      <c r="A477" s="225"/>
      <c r="B477" s="334">
        <v>46022</v>
      </c>
      <c r="C477" s="225">
        <v>20</v>
      </c>
      <c r="D477" s="225">
        <f t="shared" si="13"/>
        <v>2</v>
      </c>
      <c r="E477" s="335">
        <f t="shared" si="14"/>
        <v>22</v>
      </c>
      <c r="F477" s="225">
        <f t="shared" si="15"/>
        <v>20</v>
      </c>
    </row>
    <row r="478" spans="1:8" x14ac:dyDescent="0.2">
      <c r="A478" s="224" t="s">
        <v>2289</v>
      </c>
      <c r="B478" s="334">
        <v>46203</v>
      </c>
      <c r="C478" s="225"/>
      <c r="D478" s="225">
        <f t="shared" si="13"/>
        <v>1</v>
      </c>
      <c r="E478" s="335">
        <f t="shared" si="14"/>
        <v>1</v>
      </c>
      <c r="F478" s="225">
        <f t="shared" si="15"/>
        <v>20</v>
      </c>
    </row>
    <row r="479" spans="1:8" x14ac:dyDescent="0.2">
      <c r="A479" s="225"/>
      <c r="B479" s="334">
        <v>46387</v>
      </c>
      <c r="C479" s="225">
        <v>20</v>
      </c>
      <c r="D479" s="225">
        <f t="shared" si="13"/>
        <v>1</v>
      </c>
      <c r="E479" s="335">
        <f t="shared" si="14"/>
        <v>21</v>
      </c>
      <c r="F479" s="225">
        <f t="shared" si="15"/>
        <v>0</v>
      </c>
    </row>
    <row r="481" spans="1:8" x14ac:dyDescent="0.2">
      <c r="C481" s="1" t="s">
        <v>2313</v>
      </c>
      <c r="E481" s="43">
        <v>6.0900000000000003E-2</v>
      </c>
    </row>
    <row r="482" spans="1:8" x14ac:dyDescent="0.2">
      <c r="C482" s="1" t="s">
        <v>2314</v>
      </c>
      <c r="E482" s="43">
        <f>(1+E481)^0.5-1</f>
        <v>3.0000000000000027E-2</v>
      </c>
    </row>
    <row r="484" spans="1:8" x14ac:dyDescent="0.2">
      <c r="C484" s="1" t="s">
        <v>1611</v>
      </c>
      <c r="E484" s="333">
        <f>NPV(E482,E470:E479)</f>
        <v>110.63906182741654</v>
      </c>
    </row>
    <row r="485" spans="1:8" ht="17" thickBot="1" x14ac:dyDescent="0.25"/>
    <row r="486" spans="1:8" ht="17" thickBot="1" x14ac:dyDescent="0.25">
      <c r="A486" s="336" t="s">
        <v>2315</v>
      </c>
      <c r="B486" s="150"/>
      <c r="C486" s="150"/>
      <c r="D486" s="150"/>
      <c r="E486" s="150"/>
      <c r="F486" s="150"/>
      <c r="G486" s="150"/>
      <c r="H486" s="151"/>
    </row>
    <row r="488" spans="1:8" x14ac:dyDescent="0.2">
      <c r="A488" s="1" t="s">
        <v>2316</v>
      </c>
    </row>
    <row r="489" spans="1:8" x14ac:dyDescent="0.2">
      <c r="A489" s="1" t="s">
        <v>2317</v>
      </c>
    </row>
    <row r="490" spans="1:8" x14ac:dyDescent="0.2">
      <c r="A490" s="1" t="s">
        <v>2318</v>
      </c>
    </row>
    <row r="491" spans="1:8" x14ac:dyDescent="0.2">
      <c r="C491" s="333">
        <f>E484*(1+E481)^(3/12)</f>
        <v>112.28638413499843</v>
      </c>
      <c r="F491" s="1" t="s">
        <v>2319</v>
      </c>
    </row>
    <row r="492" spans="1:8" ht="17" thickBot="1" x14ac:dyDescent="0.25"/>
    <row r="493" spans="1:8" ht="17" thickBot="1" x14ac:dyDescent="0.25">
      <c r="A493" s="336" t="s">
        <v>2320</v>
      </c>
      <c r="B493" s="150"/>
      <c r="C493" s="150"/>
      <c r="D493" s="150"/>
      <c r="E493" s="150"/>
      <c r="F493" s="150"/>
      <c r="G493" s="150"/>
      <c r="H493" s="151"/>
    </row>
    <row r="495" spans="1:8" x14ac:dyDescent="0.2">
      <c r="A495" s="1" t="s">
        <v>2322</v>
      </c>
    </row>
    <row r="496" spans="1:8" x14ac:dyDescent="0.2">
      <c r="A496" s="1" t="s">
        <v>2323</v>
      </c>
    </row>
    <row r="498" spans="1:9" x14ac:dyDescent="0.2">
      <c r="A498" s="225"/>
      <c r="B498" s="224" t="s">
        <v>12</v>
      </c>
      <c r="C498" s="224" t="s">
        <v>304</v>
      </c>
      <c r="D498" s="224" t="s">
        <v>203</v>
      </c>
      <c r="E498" s="224" t="s">
        <v>460</v>
      </c>
      <c r="F498" s="224" t="s">
        <v>2241</v>
      </c>
    </row>
    <row r="499" spans="1:9" x14ac:dyDescent="0.2">
      <c r="A499" s="224"/>
      <c r="B499" s="334">
        <v>44562</v>
      </c>
      <c r="C499" s="225"/>
      <c r="D499" s="225"/>
      <c r="E499" s="225"/>
      <c r="F499" s="225">
        <v>100</v>
      </c>
    </row>
    <row r="500" spans="1:9" x14ac:dyDescent="0.2">
      <c r="B500" s="334">
        <v>44742</v>
      </c>
      <c r="C500" s="372"/>
      <c r="D500" s="372" t="s">
        <v>921</v>
      </c>
      <c r="E500" s="373" t="s">
        <v>921</v>
      </c>
      <c r="F500" s="225">
        <f>F499-C500</f>
        <v>100</v>
      </c>
    </row>
    <row r="501" spans="1:9" x14ac:dyDescent="0.2">
      <c r="A501" s="225" t="s">
        <v>2321</v>
      </c>
      <c r="B501" s="334">
        <v>44926</v>
      </c>
      <c r="C501" s="372">
        <v>20</v>
      </c>
      <c r="D501" s="372">
        <f t="shared" ref="D501:D509" si="16">5%*F500</f>
        <v>5</v>
      </c>
      <c r="E501" s="373">
        <f t="shared" ref="E501:E509" si="17">C501+D501</f>
        <v>25</v>
      </c>
      <c r="F501" s="225">
        <f t="shared" ref="F501:F509" si="18">F500-C501</f>
        <v>80</v>
      </c>
    </row>
    <row r="502" spans="1:9" x14ac:dyDescent="0.2">
      <c r="A502" s="225"/>
      <c r="B502" s="334">
        <v>45107</v>
      </c>
      <c r="C502" s="225"/>
      <c r="D502" s="225">
        <f t="shared" si="16"/>
        <v>4</v>
      </c>
      <c r="E502" s="335">
        <f t="shared" si="17"/>
        <v>4</v>
      </c>
      <c r="F502" s="225">
        <f t="shared" si="18"/>
        <v>80</v>
      </c>
      <c r="G502" s="4" t="s">
        <v>2444</v>
      </c>
      <c r="H502" s="4"/>
      <c r="I502" s="4"/>
    </row>
    <row r="503" spans="1:9" x14ac:dyDescent="0.2">
      <c r="A503" s="225"/>
      <c r="B503" s="334">
        <v>45291</v>
      </c>
      <c r="C503" s="225">
        <v>20</v>
      </c>
      <c r="D503" s="225">
        <f t="shared" si="16"/>
        <v>4</v>
      </c>
      <c r="E503" s="335">
        <f t="shared" si="17"/>
        <v>24</v>
      </c>
      <c r="F503" s="225">
        <f t="shared" si="18"/>
        <v>60</v>
      </c>
      <c r="G503" s="4" t="s">
        <v>2445</v>
      </c>
      <c r="H503" s="4"/>
      <c r="I503" s="4"/>
    </row>
    <row r="504" spans="1:9" x14ac:dyDescent="0.2">
      <c r="A504" s="224" t="s">
        <v>2287</v>
      </c>
      <c r="B504" s="334">
        <v>45473</v>
      </c>
      <c r="C504" s="225"/>
      <c r="D504" s="225">
        <f t="shared" si="16"/>
        <v>3</v>
      </c>
      <c r="E504" s="335">
        <f t="shared" si="17"/>
        <v>3</v>
      </c>
      <c r="F504" s="225">
        <f t="shared" si="18"/>
        <v>60</v>
      </c>
      <c r="G504" s="4" t="s">
        <v>2446</v>
      </c>
      <c r="H504" s="4"/>
      <c r="I504" s="4"/>
    </row>
    <row r="505" spans="1:9" x14ac:dyDescent="0.2">
      <c r="A505" s="225"/>
      <c r="B505" s="334">
        <v>45657</v>
      </c>
      <c r="C505" s="225">
        <v>20</v>
      </c>
      <c r="D505" s="225">
        <f t="shared" si="16"/>
        <v>3</v>
      </c>
      <c r="E505" s="335">
        <f t="shared" si="17"/>
        <v>23</v>
      </c>
      <c r="F505" s="225">
        <f t="shared" si="18"/>
        <v>40</v>
      </c>
      <c r="G505" s="4" t="s">
        <v>2447</v>
      </c>
      <c r="H505" s="4"/>
      <c r="I505" s="4"/>
    </row>
    <row r="506" spans="1:9" x14ac:dyDescent="0.2">
      <c r="A506" s="224" t="s">
        <v>2288</v>
      </c>
      <c r="B506" s="334">
        <v>45838</v>
      </c>
      <c r="C506" s="225"/>
      <c r="D506" s="225">
        <f t="shared" si="16"/>
        <v>2</v>
      </c>
      <c r="E506" s="335">
        <f t="shared" si="17"/>
        <v>2</v>
      </c>
      <c r="F506" s="225">
        <f t="shared" si="18"/>
        <v>40</v>
      </c>
    </row>
    <row r="507" spans="1:9" x14ac:dyDescent="0.2">
      <c r="A507" s="225"/>
      <c r="B507" s="334">
        <v>46022</v>
      </c>
      <c r="C507" s="225">
        <v>20</v>
      </c>
      <c r="D507" s="225">
        <f t="shared" si="16"/>
        <v>2</v>
      </c>
      <c r="E507" s="335">
        <f t="shared" si="17"/>
        <v>22</v>
      </c>
      <c r="F507" s="225">
        <f t="shared" si="18"/>
        <v>20</v>
      </c>
    </row>
    <row r="508" spans="1:9" x14ac:dyDescent="0.2">
      <c r="A508" s="224" t="s">
        <v>2289</v>
      </c>
      <c r="B508" s="334">
        <v>46203</v>
      </c>
      <c r="C508" s="225"/>
      <c r="D508" s="225">
        <f t="shared" si="16"/>
        <v>1</v>
      </c>
      <c r="E508" s="335">
        <f t="shared" si="17"/>
        <v>1</v>
      </c>
      <c r="F508" s="225">
        <f t="shared" si="18"/>
        <v>20</v>
      </c>
    </row>
    <row r="509" spans="1:9" x14ac:dyDescent="0.2">
      <c r="A509" s="225"/>
      <c r="B509" s="334">
        <v>46387</v>
      </c>
      <c r="C509" s="225">
        <v>20</v>
      </c>
      <c r="D509" s="225">
        <f t="shared" si="16"/>
        <v>1</v>
      </c>
      <c r="E509" s="335">
        <f t="shared" si="17"/>
        <v>21</v>
      </c>
      <c r="F509" s="225">
        <f t="shared" si="18"/>
        <v>0</v>
      </c>
    </row>
    <row r="511" spans="1:9" x14ac:dyDescent="0.2">
      <c r="C511" s="1" t="s">
        <v>2313</v>
      </c>
      <c r="E511" s="43">
        <v>6.0900000000000003E-2</v>
      </c>
    </row>
    <row r="512" spans="1:9" x14ac:dyDescent="0.2">
      <c r="C512" s="1" t="s">
        <v>2314</v>
      </c>
      <c r="E512" s="43">
        <f>(1+E511)^0.5-1</f>
        <v>3.0000000000000027E-2</v>
      </c>
    </row>
    <row r="514" spans="1:5" x14ac:dyDescent="0.2">
      <c r="C514" s="1" t="s">
        <v>1611</v>
      </c>
      <c r="E514" s="333">
        <f>NPV(E512,E502:E509)</f>
        <v>87.226980692706206</v>
      </c>
    </row>
    <row r="516" spans="1:5" x14ac:dyDescent="0.2">
      <c r="A516" s="4" t="s">
        <v>3258</v>
      </c>
    </row>
    <row r="517" spans="1:5" x14ac:dyDescent="0.2">
      <c r="A517" s="1" t="s">
        <v>3259</v>
      </c>
    </row>
    <row r="518" spans="1:5" x14ac:dyDescent="0.2">
      <c r="A518" s="1" t="s">
        <v>3260</v>
      </c>
    </row>
    <row r="519" spans="1:5" x14ac:dyDescent="0.2">
      <c r="A519" s="1" t="s">
        <v>3261</v>
      </c>
    </row>
  </sheetData>
  <mergeCells count="8">
    <mergeCell ref="A192:A194"/>
    <mergeCell ref="A195:A196"/>
    <mergeCell ref="B279:C279"/>
    <mergeCell ref="B280:C280"/>
    <mergeCell ref="B281:C281"/>
    <mergeCell ref="A249:B249"/>
    <mergeCell ref="A248:B248"/>
    <mergeCell ref="A247:B247"/>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2FAE46-2451-9E49-B308-02281B40E213}">
  <dimension ref="A1:L619"/>
  <sheetViews>
    <sheetView rightToLeft="1" topLeftCell="A619" zoomScale="258" zoomScaleNormal="10" workbookViewId="0">
      <selection activeCell="D422" sqref="D422"/>
    </sheetView>
  </sheetViews>
  <sheetFormatPr baseColWidth="10" defaultColWidth="11" defaultRowHeight="16" x14ac:dyDescent="0.2"/>
  <cols>
    <col min="2" max="2" width="12.6640625" bestFit="1" customWidth="1"/>
    <col min="3" max="6" width="11" bestFit="1" customWidth="1"/>
    <col min="8" max="8" width="11" bestFit="1" customWidth="1"/>
  </cols>
  <sheetData>
    <row r="1" spans="1:8" s="1" customFormat="1" x14ac:dyDescent="0.2">
      <c r="A1" s="3" t="s">
        <v>2324</v>
      </c>
      <c r="B1" s="2"/>
      <c r="C1" s="2"/>
      <c r="D1" s="2"/>
      <c r="E1" s="2"/>
      <c r="F1" s="2"/>
      <c r="G1" s="2"/>
      <c r="H1" s="46">
        <v>45258</v>
      </c>
    </row>
    <row r="2" spans="1:8" ht="17" thickBot="1" x14ac:dyDescent="0.25"/>
    <row r="3" spans="1:8" x14ac:dyDescent="0.2">
      <c r="A3" s="16" t="s">
        <v>173</v>
      </c>
      <c r="B3" s="17"/>
      <c r="C3" s="17"/>
      <c r="D3" s="17"/>
      <c r="E3" s="17"/>
      <c r="F3" s="17"/>
      <c r="G3" s="17"/>
      <c r="H3" s="18"/>
    </row>
    <row r="4" spans="1:8" x14ac:dyDescent="0.2">
      <c r="A4" s="19" t="s">
        <v>174</v>
      </c>
      <c r="B4" s="1"/>
      <c r="C4" s="1"/>
      <c r="D4" s="1"/>
      <c r="E4" s="1"/>
      <c r="F4" s="1"/>
      <c r="G4" s="1"/>
      <c r="H4" s="20"/>
    </row>
    <row r="5" spans="1:8" x14ac:dyDescent="0.2">
      <c r="A5" s="19" t="s">
        <v>175</v>
      </c>
      <c r="B5" s="1"/>
      <c r="C5" s="1"/>
      <c r="D5" s="1"/>
      <c r="E5" s="1"/>
      <c r="F5" s="1"/>
      <c r="G5" s="1"/>
      <c r="H5" s="20"/>
    </row>
    <row r="6" spans="1:8" x14ac:dyDescent="0.2">
      <c r="A6" s="19" t="s">
        <v>176</v>
      </c>
      <c r="B6" s="1"/>
      <c r="C6" s="1"/>
      <c r="D6" s="1"/>
      <c r="E6" s="1"/>
      <c r="F6" s="1"/>
      <c r="G6" s="1"/>
      <c r="H6" s="20"/>
    </row>
    <row r="7" spans="1:8" x14ac:dyDescent="0.2">
      <c r="A7" s="19" t="s">
        <v>177</v>
      </c>
      <c r="B7" s="1"/>
      <c r="C7" s="1"/>
      <c r="D7" s="1"/>
      <c r="E7" s="1"/>
      <c r="F7" s="1"/>
      <c r="G7" s="1"/>
      <c r="H7" s="20"/>
    </row>
    <row r="8" spans="1:8" x14ac:dyDescent="0.2">
      <c r="A8" s="19" t="s">
        <v>178</v>
      </c>
      <c r="B8" s="1"/>
      <c r="C8" s="1"/>
      <c r="D8" s="1"/>
      <c r="E8" s="1"/>
      <c r="F8" s="1"/>
      <c r="G8" s="1"/>
      <c r="H8" s="20"/>
    </row>
    <row r="9" spans="1:8" x14ac:dyDescent="0.2">
      <c r="A9" s="19" t="s">
        <v>179</v>
      </c>
      <c r="B9" s="1"/>
      <c r="C9" s="1"/>
      <c r="D9" s="1"/>
      <c r="E9" s="1"/>
      <c r="F9" s="1"/>
      <c r="G9" s="1"/>
      <c r="H9" s="20"/>
    </row>
    <row r="10" spans="1:8" ht="17" thickBot="1" x14ac:dyDescent="0.25">
      <c r="A10" s="21" t="s">
        <v>180</v>
      </c>
      <c r="B10" s="22"/>
      <c r="C10" s="22"/>
      <c r="D10" s="22"/>
      <c r="E10" s="22"/>
      <c r="F10" s="22"/>
      <c r="G10" s="22"/>
      <c r="H10" s="23"/>
    </row>
    <row r="11" spans="1:8" ht="17" thickBot="1" x14ac:dyDescent="0.25">
      <c r="A11" s="1"/>
      <c r="B11" s="1"/>
      <c r="C11" s="1"/>
      <c r="D11" s="1"/>
      <c r="E11" s="1"/>
      <c r="F11" s="1"/>
      <c r="G11" s="1"/>
      <c r="H11" s="1"/>
    </row>
    <row r="12" spans="1:8" x14ac:dyDescent="0.2">
      <c r="A12" s="57" t="s">
        <v>181</v>
      </c>
      <c r="B12" s="17"/>
      <c r="C12" s="17"/>
      <c r="D12" s="17"/>
      <c r="E12" s="17"/>
      <c r="F12" s="17"/>
      <c r="G12" s="17"/>
      <c r="H12" s="18"/>
    </row>
    <row r="13" spans="1:8" x14ac:dyDescent="0.2">
      <c r="A13" s="19" t="s">
        <v>182</v>
      </c>
      <c r="B13" s="1"/>
      <c r="C13" s="1"/>
      <c r="D13" s="1"/>
      <c r="E13" s="1"/>
      <c r="F13" s="1"/>
      <c r="G13" s="1"/>
      <c r="H13" s="20"/>
    </row>
    <row r="14" spans="1:8" x14ac:dyDescent="0.2">
      <c r="A14" s="19" t="s">
        <v>183</v>
      </c>
      <c r="B14" s="1"/>
      <c r="C14" s="1"/>
      <c r="D14" s="1"/>
      <c r="E14" s="1"/>
      <c r="F14" s="1"/>
      <c r="G14" s="1"/>
      <c r="H14" s="20"/>
    </row>
    <row r="15" spans="1:8" x14ac:dyDescent="0.2">
      <c r="A15" s="19" t="s">
        <v>184</v>
      </c>
      <c r="B15" s="1"/>
      <c r="C15" s="1"/>
      <c r="D15" s="1"/>
      <c r="E15" s="1"/>
      <c r="F15" s="1"/>
      <c r="G15" s="1"/>
      <c r="H15" s="20"/>
    </row>
    <row r="16" spans="1:8" x14ac:dyDescent="0.2">
      <c r="A16" s="19"/>
      <c r="B16" s="1" t="s">
        <v>185</v>
      </c>
      <c r="C16" s="1"/>
      <c r="D16" s="1"/>
      <c r="E16" s="1"/>
      <c r="F16" s="1"/>
      <c r="G16" s="1"/>
      <c r="H16" s="20"/>
    </row>
    <row r="17" spans="1:8" x14ac:dyDescent="0.2">
      <c r="A17" s="19"/>
      <c r="B17" s="1" t="s">
        <v>186</v>
      </c>
      <c r="C17" s="1"/>
      <c r="D17" s="1"/>
      <c r="E17" s="1"/>
      <c r="F17" s="1"/>
      <c r="G17" s="1"/>
      <c r="H17" s="20"/>
    </row>
    <row r="18" spans="1:8" ht="17" thickBot="1" x14ac:dyDescent="0.25">
      <c r="A18" s="21" t="s">
        <v>187</v>
      </c>
      <c r="B18" s="22"/>
      <c r="C18" s="22"/>
      <c r="D18" s="22"/>
      <c r="E18" s="22"/>
      <c r="F18" s="22"/>
      <c r="G18" s="22"/>
      <c r="H18" s="23"/>
    </row>
    <row r="19" spans="1:8" ht="17" thickBot="1" x14ac:dyDescent="0.25">
      <c r="A19" s="1"/>
      <c r="B19" s="1"/>
      <c r="C19" s="1"/>
      <c r="D19" s="1"/>
      <c r="E19" s="1"/>
      <c r="F19" s="1"/>
      <c r="G19" s="1"/>
      <c r="H19" s="1"/>
    </row>
    <row r="20" spans="1:8" x14ac:dyDescent="0.2">
      <c r="A20" s="57" t="s">
        <v>188</v>
      </c>
      <c r="B20" s="17"/>
      <c r="C20" s="17"/>
      <c r="D20" s="17"/>
      <c r="E20" s="17"/>
      <c r="F20" s="17"/>
      <c r="G20" s="17"/>
      <c r="H20" s="18"/>
    </row>
    <row r="21" spans="1:8" x14ac:dyDescent="0.2">
      <c r="A21" s="19" t="s">
        <v>2326</v>
      </c>
      <c r="B21" s="1"/>
      <c r="C21" s="1"/>
      <c r="D21" s="1"/>
      <c r="E21" s="1"/>
      <c r="F21" s="1"/>
      <c r="G21" s="1"/>
      <c r="H21" s="20"/>
    </row>
    <row r="22" spans="1:8" x14ac:dyDescent="0.2">
      <c r="A22" s="19" t="s">
        <v>2325</v>
      </c>
      <c r="B22" s="1"/>
      <c r="C22" s="1"/>
      <c r="D22" s="1"/>
      <c r="E22" s="1"/>
      <c r="F22" s="1"/>
      <c r="G22" s="1"/>
      <c r="H22" s="20"/>
    </row>
    <row r="23" spans="1:8" x14ac:dyDescent="0.2">
      <c r="A23" s="19" t="s">
        <v>189</v>
      </c>
      <c r="B23" s="1"/>
      <c r="C23" s="1"/>
      <c r="D23" s="1"/>
      <c r="E23" s="1"/>
      <c r="F23" s="1"/>
      <c r="G23" s="1"/>
      <c r="H23" s="20"/>
    </row>
    <row r="24" spans="1:8" x14ac:dyDescent="0.2">
      <c r="A24" s="19" t="s">
        <v>2327</v>
      </c>
      <c r="B24" s="1"/>
      <c r="C24" s="1"/>
      <c r="D24" s="1"/>
      <c r="E24" s="1"/>
      <c r="F24" s="1"/>
      <c r="G24" s="1"/>
      <c r="H24" s="20"/>
    </row>
    <row r="25" spans="1:8" x14ac:dyDescent="0.2">
      <c r="A25" s="19" t="s">
        <v>2328</v>
      </c>
      <c r="B25" s="1"/>
      <c r="C25" s="1"/>
      <c r="D25" s="1"/>
      <c r="E25" s="1"/>
      <c r="F25" s="1"/>
      <c r="G25" s="1"/>
      <c r="H25" s="20"/>
    </row>
    <row r="26" spans="1:8" ht="17" thickBot="1" x14ac:dyDescent="0.25">
      <c r="A26" s="21" t="s">
        <v>190</v>
      </c>
      <c r="B26" s="22"/>
      <c r="C26" s="22"/>
      <c r="D26" s="22"/>
      <c r="E26" s="22"/>
      <c r="F26" s="22"/>
      <c r="G26" s="22"/>
      <c r="H26" s="23"/>
    </row>
    <row r="27" spans="1:8" ht="17" thickBot="1" x14ac:dyDescent="0.25">
      <c r="A27" s="1"/>
      <c r="B27" s="1"/>
      <c r="C27" s="1"/>
      <c r="D27" s="1"/>
      <c r="E27" s="1"/>
      <c r="F27" s="1"/>
      <c r="G27" s="1"/>
      <c r="H27" s="1"/>
    </row>
    <row r="28" spans="1:8" x14ac:dyDescent="0.2">
      <c r="A28" s="16" t="s">
        <v>191</v>
      </c>
      <c r="B28" s="17"/>
      <c r="C28" s="17"/>
      <c r="D28" s="17"/>
      <c r="E28" s="17"/>
      <c r="F28" s="17"/>
      <c r="G28" s="17"/>
      <c r="H28" s="18"/>
    </row>
    <row r="29" spans="1:8" x14ac:dyDescent="0.2">
      <c r="A29" s="19"/>
      <c r="B29" s="1"/>
      <c r="C29" s="1"/>
      <c r="D29" s="1"/>
      <c r="E29" s="1"/>
      <c r="F29" s="1"/>
      <c r="G29" s="1"/>
      <c r="H29" s="20"/>
    </row>
    <row r="30" spans="1:8" x14ac:dyDescent="0.2">
      <c r="A30" s="19"/>
      <c r="B30" s="1"/>
      <c r="C30" s="1"/>
      <c r="D30" s="1"/>
      <c r="E30" s="1"/>
      <c r="F30" s="1"/>
      <c r="G30" s="1"/>
      <c r="H30" s="20"/>
    </row>
    <row r="31" spans="1:8" x14ac:dyDescent="0.2">
      <c r="A31" s="19"/>
      <c r="B31" s="1"/>
      <c r="C31" s="1"/>
      <c r="D31" s="1"/>
      <c r="E31" s="1"/>
      <c r="F31" s="1"/>
      <c r="G31" s="1"/>
      <c r="H31" s="20"/>
    </row>
    <row r="32" spans="1:8" x14ac:dyDescent="0.2">
      <c r="A32" s="19"/>
      <c r="B32" s="1"/>
      <c r="C32" s="1"/>
      <c r="D32" s="1"/>
      <c r="E32" s="1"/>
      <c r="F32" s="1"/>
      <c r="G32" s="1"/>
      <c r="H32" s="20"/>
    </row>
    <row r="33" spans="1:8" x14ac:dyDescent="0.2">
      <c r="A33" s="19"/>
      <c r="B33" s="1"/>
      <c r="C33" s="1"/>
      <c r="D33" s="1"/>
      <c r="E33" s="1"/>
      <c r="F33" s="1"/>
      <c r="G33" s="1"/>
      <c r="H33" s="20"/>
    </row>
    <row r="34" spans="1:8" x14ac:dyDescent="0.2">
      <c r="A34" s="19"/>
      <c r="B34" s="1"/>
      <c r="C34" s="1"/>
      <c r="D34" s="1"/>
      <c r="E34" s="1"/>
      <c r="F34" s="1"/>
      <c r="G34" s="1"/>
      <c r="H34" s="20"/>
    </row>
    <row r="35" spans="1:8" x14ac:dyDescent="0.2">
      <c r="A35" s="19"/>
      <c r="B35" s="1"/>
      <c r="C35" s="1"/>
      <c r="D35" s="1"/>
      <c r="E35" s="1"/>
      <c r="F35" s="1"/>
      <c r="G35" s="1"/>
      <c r="H35" s="20"/>
    </row>
    <row r="36" spans="1:8" x14ac:dyDescent="0.2">
      <c r="A36" s="19"/>
      <c r="B36" s="1"/>
      <c r="C36" s="1"/>
      <c r="D36" s="1"/>
      <c r="E36" s="1"/>
      <c r="F36" s="1"/>
      <c r="G36" s="1"/>
      <c r="H36" s="20"/>
    </row>
    <row r="37" spans="1:8" x14ac:dyDescent="0.2">
      <c r="A37" s="19"/>
      <c r="B37" s="1"/>
      <c r="C37" s="1"/>
      <c r="D37" s="1"/>
      <c r="E37" s="1"/>
      <c r="F37" s="1"/>
      <c r="G37" s="1"/>
      <c r="H37" s="20"/>
    </row>
    <row r="38" spans="1:8" x14ac:dyDescent="0.2">
      <c r="A38" s="19"/>
      <c r="B38" s="1"/>
      <c r="C38" s="1"/>
      <c r="D38" s="1"/>
      <c r="E38" s="1"/>
      <c r="F38" s="1"/>
      <c r="G38" s="1"/>
      <c r="H38" s="20"/>
    </row>
    <row r="39" spans="1:8" x14ac:dyDescent="0.2">
      <c r="A39" s="19"/>
      <c r="B39" s="1"/>
      <c r="C39" s="1"/>
      <c r="D39" s="1"/>
      <c r="E39" s="1"/>
      <c r="F39" s="1"/>
      <c r="G39" s="1"/>
      <c r="H39" s="20"/>
    </row>
    <row r="40" spans="1:8" x14ac:dyDescent="0.2">
      <c r="A40" s="19"/>
      <c r="B40" s="1"/>
      <c r="C40" s="1"/>
      <c r="D40" s="1"/>
      <c r="E40" s="1"/>
      <c r="F40" s="1"/>
      <c r="G40" s="1"/>
      <c r="H40" s="20"/>
    </row>
    <row r="41" spans="1:8" x14ac:dyDescent="0.2">
      <c r="A41" s="19"/>
      <c r="B41" s="1"/>
      <c r="C41" s="1"/>
      <c r="D41" s="1"/>
      <c r="E41" s="1"/>
      <c r="F41" s="1"/>
      <c r="G41" s="1"/>
      <c r="H41" s="20"/>
    </row>
    <row r="42" spans="1:8" x14ac:dyDescent="0.2">
      <c r="A42" s="90"/>
      <c r="H42" s="91"/>
    </row>
    <row r="43" spans="1:8" x14ac:dyDescent="0.2">
      <c r="A43" s="90"/>
      <c r="H43" s="91"/>
    </row>
    <row r="44" spans="1:8" x14ac:dyDescent="0.2">
      <c r="A44" s="90"/>
      <c r="H44" s="91"/>
    </row>
    <row r="45" spans="1:8" x14ac:dyDescent="0.2">
      <c r="A45" s="90"/>
      <c r="H45" s="91"/>
    </row>
    <row r="46" spans="1:8" x14ac:dyDescent="0.2">
      <c r="A46" s="90"/>
      <c r="H46" s="91"/>
    </row>
    <row r="47" spans="1:8" x14ac:dyDescent="0.2">
      <c r="A47" s="90"/>
      <c r="H47" s="91"/>
    </row>
    <row r="48" spans="1:8" x14ac:dyDescent="0.2">
      <c r="A48" s="90"/>
      <c r="H48" s="91"/>
    </row>
    <row r="49" spans="1:8" x14ac:dyDescent="0.2">
      <c r="A49" s="90"/>
      <c r="H49" s="91"/>
    </row>
    <row r="50" spans="1:8" x14ac:dyDescent="0.2">
      <c r="A50" s="90"/>
      <c r="H50" s="91"/>
    </row>
    <row r="51" spans="1:8" x14ac:dyDescent="0.2">
      <c r="A51" s="90"/>
      <c r="H51" s="91"/>
    </row>
    <row r="52" spans="1:8" x14ac:dyDescent="0.2">
      <c r="A52" s="90"/>
      <c r="H52" s="91"/>
    </row>
    <row r="53" spans="1:8" x14ac:dyDescent="0.2">
      <c r="A53" s="90"/>
      <c r="H53" s="91"/>
    </row>
    <row r="54" spans="1:8" ht="17" thickBot="1" x14ac:dyDescent="0.25">
      <c r="A54" s="92"/>
      <c r="B54" s="93"/>
      <c r="C54" s="93"/>
      <c r="D54" s="93"/>
      <c r="E54" s="93"/>
      <c r="F54" s="93"/>
      <c r="G54" s="93"/>
      <c r="H54" s="94"/>
    </row>
    <row r="57" spans="1:8" s="1" customFormat="1" x14ac:dyDescent="0.2">
      <c r="A57" s="81" t="s">
        <v>2398</v>
      </c>
      <c r="B57" s="38"/>
      <c r="C57" s="38"/>
      <c r="D57" s="38"/>
      <c r="E57" s="38"/>
      <c r="F57" s="38"/>
      <c r="G57" s="45"/>
      <c r="H57" s="38"/>
    </row>
    <row r="58" spans="1:8" s="1" customFormat="1" x14ac:dyDescent="0.2">
      <c r="A58" s="1" t="s">
        <v>2329</v>
      </c>
    </row>
    <row r="59" spans="1:8" s="1" customFormat="1" x14ac:dyDescent="0.2">
      <c r="A59" s="1" t="s">
        <v>192</v>
      </c>
    </row>
    <row r="60" spans="1:8" s="1" customFormat="1" x14ac:dyDescent="0.2">
      <c r="A60" s="1" t="s">
        <v>193</v>
      </c>
    </row>
    <row r="61" spans="1:8" s="1" customFormat="1" x14ac:dyDescent="0.2">
      <c r="A61" s="1" t="s">
        <v>194</v>
      </c>
    </row>
    <row r="62" spans="1:8" s="1" customFormat="1" x14ac:dyDescent="0.2">
      <c r="A62" s="1" t="s">
        <v>195</v>
      </c>
    </row>
    <row r="63" spans="1:8" s="1" customFormat="1" x14ac:dyDescent="0.2">
      <c r="A63" s="1" t="s">
        <v>196</v>
      </c>
    </row>
    <row r="64" spans="1:8" s="1" customFormat="1" x14ac:dyDescent="0.2">
      <c r="A64" s="1" t="s">
        <v>197</v>
      </c>
    </row>
    <row r="65" spans="1:10" s="1" customFormat="1" x14ac:dyDescent="0.2">
      <c r="A65" s="1" t="s">
        <v>2408</v>
      </c>
    </row>
    <row r="66" spans="1:10" s="1" customFormat="1" x14ac:dyDescent="0.2"/>
    <row r="67" spans="1:10" s="1" customFormat="1" x14ac:dyDescent="0.2">
      <c r="A67" s="1" t="s">
        <v>198</v>
      </c>
    </row>
    <row r="68" spans="1:10" s="1" customFormat="1" x14ac:dyDescent="0.2"/>
    <row r="69" spans="1:10" s="1" customFormat="1" x14ac:dyDescent="0.2">
      <c r="A69" s="4" t="s">
        <v>195</v>
      </c>
    </row>
    <row r="70" spans="1:10" s="1" customFormat="1" x14ac:dyDescent="0.2">
      <c r="A70" s="1" t="s">
        <v>199</v>
      </c>
    </row>
    <row r="71" spans="1:10" s="1" customFormat="1" x14ac:dyDescent="0.2">
      <c r="A71" s="1" t="s">
        <v>200</v>
      </c>
    </row>
    <row r="72" spans="1:10" s="1" customFormat="1" x14ac:dyDescent="0.2">
      <c r="A72" s="1" t="s">
        <v>201</v>
      </c>
    </row>
    <row r="73" spans="1:10" s="1" customFormat="1" x14ac:dyDescent="0.2"/>
    <row r="74" spans="1:10" s="1" customFormat="1" x14ac:dyDescent="0.2">
      <c r="B74" s="39" t="s">
        <v>12</v>
      </c>
      <c r="C74" s="39" t="s">
        <v>202</v>
      </c>
      <c r="D74" s="39" t="s">
        <v>203</v>
      </c>
      <c r="E74" s="39" t="s">
        <v>204</v>
      </c>
      <c r="F74" s="39" t="s">
        <v>205</v>
      </c>
      <c r="G74" s="39"/>
      <c r="H74" s="39" t="s">
        <v>206</v>
      </c>
    </row>
    <row r="75" spans="1:10" s="1" customFormat="1" x14ac:dyDescent="0.2">
      <c r="A75" s="8" t="s">
        <v>2312</v>
      </c>
      <c r="B75" s="79">
        <v>44197</v>
      </c>
      <c r="C75" s="62">
        <v>0</v>
      </c>
      <c r="D75" s="60"/>
      <c r="E75" s="60"/>
      <c r="F75" s="60"/>
      <c r="G75" s="7"/>
      <c r="H75" s="62">
        <v>100</v>
      </c>
      <c r="J75" s="1" t="s">
        <v>2330</v>
      </c>
    </row>
    <row r="76" spans="1:10" s="1" customFormat="1" x14ac:dyDescent="0.2">
      <c r="A76" s="8"/>
      <c r="B76" s="79">
        <v>44377</v>
      </c>
      <c r="C76" s="62">
        <v>1</v>
      </c>
      <c r="D76" s="62">
        <f>8%/2*H75</f>
        <v>4</v>
      </c>
      <c r="E76" s="62">
        <v>0</v>
      </c>
      <c r="F76" s="95">
        <f>D76+E76</f>
        <v>4</v>
      </c>
      <c r="G76" s="7"/>
      <c r="H76" s="62">
        <f>H75</f>
        <v>100</v>
      </c>
      <c r="J76" s="1" t="s">
        <v>2331</v>
      </c>
    </row>
    <row r="77" spans="1:10" s="1" customFormat="1" x14ac:dyDescent="0.2">
      <c r="A77" s="8" t="s">
        <v>207</v>
      </c>
      <c r="B77" s="96">
        <v>44561</v>
      </c>
      <c r="C77" s="62">
        <v>2</v>
      </c>
      <c r="D77" s="62">
        <f t="shared" ref="D77:D85" si="0">4%*H76</f>
        <v>4</v>
      </c>
      <c r="E77" s="62">
        <f>100/5</f>
        <v>20</v>
      </c>
      <c r="F77" s="97">
        <f>D77+E77</f>
        <v>24</v>
      </c>
      <c r="G77" s="59"/>
      <c r="H77" s="62">
        <f>H76-E77</f>
        <v>80</v>
      </c>
      <c r="J77" s="1" t="s">
        <v>2332</v>
      </c>
    </row>
    <row r="78" spans="1:10" s="1" customFormat="1" x14ac:dyDescent="0.2">
      <c r="A78" s="8"/>
      <c r="B78" s="96">
        <v>44742</v>
      </c>
      <c r="C78" s="62">
        <v>3</v>
      </c>
      <c r="D78" s="62">
        <f t="shared" si="0"/>
        <v>3.2</v>
      </c>
      <c r="E78" s="62">
        <v>0</v>
      </c>
      <c r="F78" s="97">
        <f>D78+E78</f>
        <v>3.2</v>
      </c>
      <c r="G78" s="59"/>
      <c r="H78" s="62">
        <f>H77</f>
        <v>80</v>
      </c>
      <c r="J78" s="1" t="s">
        <v>2334</v>
      </c>
    </row>
    <row r="79" spans="1:10" s="1" customFormat="1" x14ac:dyDescent="0.2">
      <c r="A79" s="8" t="s">
        <v>208</v>
      </c>
      <c r="B79" s="96">
        <v>44926</v>
      </c>
      <c r="C79" s="62">
        <v>4</v>
      </c>
      <c r="D79" s="62">
        <f t="shared" si="0"/>
        <v>3.2</v>
      </c>
      <c r="E79" s="62">
        <f>100/5</f>
        <v>20</v>
      </c>
      <c r="F79" s="97">
        <f>D79+E79</f>
        <v>23.2</v>
      </c>
      <c r="G79" s="59"/>
      <c r="H79" s="62">
        <f>H78-E79</f>
        <v>60</v>
      </c>
      <c r="J79" s="1" t="s">
        <v>2333</v>
      </c>
    </row>
    <row r="80" spans="1:10" s="1" customFormat="1" x14ac:dyDescent="0.2">
      <c r="A80" s="8"/>
      <c r="B80" s="96">
        <v>45107</v>
      </c>
      <c r="C80" s="62">
        <v>5</v>
      </c>
      <c r="D80" s="62">
        <f t="shared" si="0"/>
        <v>2.4</v>
      </c>
      <c r="E80" s="62">
        <v>0</v>
      </c>
      <c r="F80" s="97">
        <f t="shared" ref="F80:F85" si="1">D80+E80</f>
        <v>2.4</v>
      </c>
      <c r="G80" s="59"/>
      <c r="H80" s="62">
        <f t="shared" ref="H80:H85" si="2">H79-E80</f>
        <v>60</v>
      </c>
      <c r="J80" s="1" t="s">
        <v>2335</v>
      </c>
    </row>
    <row r="81" spans="1:8" s="1" customFormat="1" x14ac:dyDescent="0.2">
      <c r="A81" s="8" t="s">
        <v>209</v>
      </c>
      <c r="B81" s="96">
        <v>45291</v>
      </c>
      <c r="C81" s="62">
        <v>6</v>
      </c>
      <c r="D81" s="62">
        <f t="shared" si="0"/>
        <v>2.4</v>
      </c>
      <c r="E81" s="62">
        <v>20</v>
      </c>
      <c r="F81" s="97">
        <f t="shared" si="1"/>
        <v>22.4</v>
      </c>
      <c r="G81" s="59"/>
      <c r="H81" s="62">
        <f t="shared" si="2"/>
        <v>40</v>
      </c>
    </row>
    <row r="82" spans="1:8" s="1" customFormat="1" x14ac:dyDescent="0.2">
      <c r="A82" s="8"/>
      <c r="B82" s="96">
        <v>45473</v>
      </c>
      <c r="C82" s="62">
        <v>7</v>
      </c>
      <c r="D82" s="62">
        <f t="shared" si="0"/>
        <v>1.6</v>
      </c>
      <c r="E82" s="62">
        <v>0</v>
      </c>
      <c r="F82" s="97">
        <f t="shared" si="1"/>
        <v>1.6</v>
      </c>
      <c r="G82" s="59"/>
      <c r="H82" s="62">
        <f t="shared" si="2"/>
        <v>40</v>
      </c>
    </row>
    <row r="83" spans="1:8" s="1" customFormat="1" x14ac:dyDescent="0.2">
      <c r="A83" s="8" t="s">
        <v>210</v>
      </c>
      <c r="B83" s="96">
        <v>45657</v>
      </c>
      <c r="C83" s="62">
        <v>8</v>
      </c>
      <c r="D83" s="62">
        <f t="shared" si="0"/>
        <v>1.6</v>
      </c>
      <c r="E83" s="62">
        <v>20</v>
      </c>
      <c r="F83" s="97">
        <f t="shared" si="1"/>
        <v>21.6</v>
      </c>
      <c r="G83" s="59"/>
      <c r="H83" s="62">
        <f t="shared" si="2"/>
        <v>20</v>
      </c>
    </row>
    <row r="84" spans="1:8" s="1" customFormat="1" x14ac:dyDescent="0.2">
      <c r="A84" s="8"/>
      <c r="B84" s="96">
        <v>45838</v>
      </c>
      <c r="C84" s="62">
        <v>9</v>
      </c>
      <c r="D84" s="62">
        <f t="shared" si="0"/>
        <v>0.8</v>
      </c>
      <c r="E84" s="62">
        <v>0</v>
      </c>
      <c r="F84" s="97">
        <f t="shared" si="1"/>
        <v>0.8</v>
      </c>
      <c r="G84" s="59"/>
      <c r="H84" s="62">
        <f t="shared" si="2"/>
        <v>20</v>
      </c>
    </row>
    <row r="85" spans="1:8" s="1" customFormat="1" x14ac:dyDescent="0.2">
      <c r="A85" s="8" t="s">
        <v>211</v>
      </c>
      <c r="B85" s="96">
        <v>46022</v>
      </c>
      <c r="C85" s="62">
        <v>10</v>
      </c>
      <c r="D85" s="62">
        <f t="shared" si="0"/>
        <v>0.8</v>
      </c>
      <c r="E85" s="62">
        <v>20</v>
      </c>
      <c r="F85" s="97">
        <f t="shared" si="1"/>
        <v>20.8</v>
      </c>
      <c r="G85" s="59"/>
      <c r="H85" s="62">
        <f t="shared" si="2"/>
        <v>0</v>
      </c>
    </row>
    <row r="86" spans="1:8" s="1" customFormat="1" x14ac:dyDescent="0.2"/>
    <row r="87" spans="1:8" s="1" customFormat="1" x14ac:dyDescent="0.2">
      <c r="A87" s="1" t="s">
        <v>2336</v>
      </c>
    </row>
    <row r="88" spans="1:8" s="1" customFormat="1" x14ac:dyDescent="0.2">
      <c r="A88" s="1" t="s">
        <v>2337</v>
      </c>
    </row>
    <row r="89" spans="1:8" s="8" customFormat="1" x14ac:dyDescent="0.2">
      <c r="A89" s="8" t="s">
        <v>212</v>
      </c>
    </row>
    <row r="90" spans="1:8" s="8" customFormat="1" x14ac:dyDescent="0.2"/>
    <row r="91" spans="1:8" s="8" customFormat="1" x14ac:dyDescent="0.2">
      <c r="A91" s="8" t="s">
        <v>2338</v>
      </c>
    </row>
    <row r="92" spans="1:8" s="8" customFormat="1" x14ac:dyDescent="0.2">
      <c r="A92" s="8" t="s">
        <v>2339</v>
      </c>
    </row>
    <row r="93" spans="1:8" s="8" customFormat="1" x14ac:dyDescent="0.2">
      <c r="A93" s="8" t="s">
        <v>2340</v>
      </c>
    </row>
    <row r="94" spans="1:8" s="8" customFormat="1" x14ac:dyDescent="0.2">
      <c r="A94" s="8" t="s">
        <v>2341</v>
      </c>
    </row>
    <row r="95" spans="1:8" s="8" customFormat="1" x14ac:dyDescent="0.2"/>
    <row r="96" spans="1:8" s="8" customFormat="1" x14ac:dyDescent="0.2"/>
    <row r="97" spans="1:10" s="8" customFormat="1" x14ac:dyDescent="0.2"/>
    <row r="98" spans="1:10" s="8" customFormat="1" x14ac:dyDescent="0.2"/>
    <row r="99" spans="1:10" s="8" customFormat="1" ht="17" thickBot="1" x14ac:dyDescent="0.25"/>
    <row r="100" spans="1:10" s="8" customFormat="1" ht="17" thickBot="1" x14ac:dyDescent="0.25">
      <c r="A100" s="8" t="s">
        <v>213</v>
      </c>
      <c r="F100" s="355">
        <f>NPV(3%,F76:F85)</f>
        <v>105.31953091370826</v>
      </c>
      <c r="G100" s="101" t="s">
        <v>2342</v>
      </c>
      <c r="H100" s="337" t="s">
        <v>2343</v>
      </c>
      <c r="I100" s="101"/>
      <c r="J100" s="338"/>
    </row>
    <row r="101" spans="1:10" s="8" customFormat="1" x14ac:dyDescent="0.2">
      <c r="F101" s="98"/>
      <c r="H101" s="98"/>
    </row>
    <row r="102" spans="1:10" s="1" customFormat="1" x14ac:dyDescent="0.2">
      <c r="A102" s="4" t="s">
        <v>214</v>
      </c>
    </row>
    <row r="103" spans="1:10" s="8" customFormat="1" x14ac:dyDescent="0.2">
      <c r="A103" s="8" t="s">
        <v>215</v>
      </c>
    </row>
    <row r="104" spans="1:10" s="8" customFormat="1" x14ac:dyDescent="0.2">
      <c r="A104" s="8" t="s">
        <v>216</v>
      </c>
    </row>
    <row r="105" spans="1:10" s="8" customFormat="1" x14ac:dyDescent="0.2">
      <c r="A105" s="14"/>
      <c r="F105" s="98"/>
      <c r="H105" s="99"/>
    </row>
    <row r="106" spans="1:10" s="8" customFormat="1" x14ac:dyDescent="0.2">
      <c r="A106" s="8" t="s">
        <v>217</v>
      </c>
      <c r="F106" s="98"/>
      <c r="H106" s="99"/>
    </row>
    <row r="107" spans="1:10" s="8" customFormat="1" x14ac:dyDescent="0.2">
      <c r="A107" s="8" t="s">
        <v>218</v>
      </c>
      <c r="F107" s="98"/>
      <c r="H107" s="99"/>
    </row>
    <row r="108" spans="1:10" s="8" customFormat="1" x14ac:dyDescent="0.2">
      <c r="A108" s="14"/>
      <c r="F108" s="98"/>
      <c r="H108" s="99"/>
    </row>
    <row r="109" spans="1:10" s="8" customFormat="1" x14ac:dyDescent="0.2">
      <c r="A109" s="14" t="s">
        <v>219</v>
      </c>
    </row>
    <row r="110" spans="1:10" s="8" customFormat="1" x14ac:dyDescent="0.2">
      <c r="A110" s="14" t="s">
        <v>220</v>
      </c>
    </row>
    <row r="111" spans="1:10" s="8" customFormat="1" x14ac:dyDescent="0.2">
      <c r="A111" s="14" t="s">
        <v>221</v>
      </c>
    </row>
    <row r="112" spans="1:10" s="8" customFormat="1" x14ac:dyDescent="0.2">
      <c r="A112" s="14"/>
    </row>
    <row r="113" spans="1:9" s="8" customFormat="1" x14ac:dyDescent="0.2">
      <c r="A113" s="1"/>
      <c r="B113" s="39" t="s">
        <v>12</v>
      </c>
      <c r="C113" s="39" t="s">
        <v>202</v>
      </c>
      <c r="D113" s="39" t="s">
        <v>203</v>
      </c>
      <c r="E113" s="39" t="s">
        <v>204</v>
      </c>
      <c r="F113" s="39" t="s">
        <v>205</v>
      </c>
      <c r="G113" s="39"/>
      <c r="H113" s="39" t="s">
        <v>206</v>
      </c>
    </row>
    <row r="114" spans="1:9" s="8" customFormat="1" x14ac:dyDescent="0.2">
      <c r="A114" s="1" t="s">
        <v>2312</v>
      </c>
      <c r="B114" s="79">
        <v>44197</v>
      </c>
      <c r="C114" s="62">
        <v>0</v>
      </c>
      <c r="D114" s="60"/>
      <c r="E114" s="60"/>
      <c r="F114" s="60"/>
      <c r="G114" s="7"/>
      <c r="H114" s="62">
        <v>100</v>
      </c>
      <c r="I114" s="8" t="s">
        <v>2345</v>
      </c>
    </row>
    <row r="115" spans="1:9" s="8" customFormat="1" ht="17" thickBot="1" x14ac:dyDescent="0.25">
      <c r="A115" s="1"/>
      <c r="B115" s="79">
        <v>44377</v>
      </c>
      <c r="C115" s="62">
        <v>1</v>
      </c>
      <c r="D115" s="105">
        <f>8%/2*H114</f>
        <v>4</v>
      </c>
      <c r="E115" s="105">
        <v>0</v>
      </c>
      <c r="F115" s="105">
        <f>D115+E115</f>
        <v>4</v>
      </c>
      <c r="G115" s="7"/>
      <c r="H115" s="62">
        <f>H114</f>
        <v>100</v>
      </c>
      <c r="I115" s="8" t="s">
        <v>2346</v>
      </c>
    </row>
    <row r="116" spans="1:9" s="8" customFormat="1" ht="17" thickBot="1" x14ac:dyDescent="0.25">
      <c r="A116" s="1"/>
      <c r="B116" s="79">
        <v>44469</v>
      </c>
      <c r="C116" s="567" t="s">
        <v>2344</v>
      </c>
      <c r="D116" s="568"/>
      <c r="E116" s="568"/>
      <c r="F116" s="568"/>
      <c r="G116" s="568"/>
      <c r="H116" s="569"/>
    </row>
    <row r="117" spans="1:9" s="8" customFormat="1" x14ac:dyDescent="0.2">
      <c r="A117" s="1" t="s">
        <v>207</v>
      </c>
      <c r="B117" s="96">
        <v>44561</v>
      </c>
      <c r="C117" s="62">
        <v>2</v>
      </c>
      <c r="D117" s="62">
        <f>4%*H115</f>
        <v>4</v>
      </c>
      <c r="E117" s="62">
        <f>100/5</f>
        <v>20</v>
      </c>
      <c r="F117" s="97">
        <f>D117+E117</f>
        <v>24</v>
      </c>
      <c r="G117" s="59"/>
      <c r="H117" s="62">
        <f>H115-E117</f>
        <v>80</v>
      </c>
    </row>
    <row r="118" spans="1:9" s="8" customFormat="1" x14ac:dyDescent="0.2">
      <c r="A118" s="1"/>
      <c r="B118" s="96">
        <v>44742</v>
      </c>
      <c r="C118" s="62">
        <v>3</v>
      </c>
      <c r="D118" s="62">
        <f t="shared" ref="D118:D125" si="3">4%*H117</f>
        <v>3.2</v>
      </c>
      <c r="E118" s="59">
        <v>0</v>
      </c>
      <c r="F118" s="97">
        <f>D118+E118</f>
        <v>3.2</v>
      </c>
      <c r="G118" s="59"/>
      <c r="H118" s="62">
        <f>H117</f>
        <v>80</v>
      </c>
    </row>
    <row r="119" spans="1:9" s="8" customFormat="1" x14ac:dyDescent="0.2">
      <c r="A119" s="1" t="s">
        <v>208</v>
      </c>
      <c r="B119" s="96">
        <v>44926</v>
      </c>
      <c r="C119" s="62">
        <v>4</v>
      </c>
      <c r="D119" s="62">
        <f t="shared" si="3"/>
        <v>3.2</v>
      </c>
      <c r="E119" s="62">
        <f>100/5</f>
        <v>20</v>
      </c>
      <c r="F119" s="97">
        <f>D119+E119</f>
        <v>23.2</v>
      </c>
      <c r="G119" s="59"/>
      <c r="H119" s="62">
        <f>H118-E119</f>
        <v>60</v>
      </c>
    </row>
    <row r="120" spans="1:9" s="8" customFormat="1" x14ac:dyDescent="0.2">
      <c r="A120" s="1"/>
      <c r="B120" s="96">
        <v>45107</v>
      </c>
      <c r="C120" s="62">
        <v>5</v>
      </c>
      <c r="D120" s="62">
        <f t="shared" si="3"/>
        <v>2.4</v>
      </c>
      <c r="E120" s="59">
        <v>0</v>
      </c>
      <c r="F120" s="97">
        <f t="shared" ref="F120:F125" si="4">D120+E120</f>
        <v>2.4</v>
      </c>
      <c r="G120" s="59"/>
      <c r="H120" s="62">
        <f t="shared" ref="H120:H125" si="5">H119-E120</f>
        <v>60</v>
      </c>
    </row>
    <row r="121" spans="1:9" s="8" customFormat="1" x14ac:dyDescent="0.2">
      <c r="A121" s="1" t="s">
        <v>209</v>
      </c>
      <c r="B121" s="96">
        <v>45291</v>
      </c>
      <c r="C121" s="62">
        <v>6</v>
      </c>
      <c r="D121" s="62">
        <f t="shared" si="3"/>
        <v>2.4</v>
      </c>
      <c r="E121" s="62">
        <v>20</v>
      </c>
      <c r="F121" s="97">
        <f t="shared" si="4"/>
        <v>22.4</v>
      </c>
      <c r="G121" s="59"/>
      <c r="H121" s="62">
        <f t="shared" si="5"/>
        <v>40</v>
      </c>
    </row>
    <row r="122" spans="1:9" s="8" customFormat="1" x14ac:dyDescent="0.2">
      <c r="A122" s="1"/>
      <c r="B122" s="96">
        <v>45473</v>
      </c>
      <c r="C122" s="62">
        <v>7</v>
      </c>
      <c r="D122" s="62">
        <f t="shared" si="3"/>
        <v>1.6</v>
      </c>
      <c r="E122" s="59">
        <v>0</v>
      </c>
      <c r="F122" s="97">
        <f t="shared" si="4"/>
        <v>1.6</v>
      </c>
      <c r="G122" s="59"/>
      <c r="H122" s="62">
        <f t="shared" si="5"/>
        <v>40</v>
      </c>
    </row>
    <row r="123" spans="1:9" s="8" customFormat="1" x14ac:dyDescent="0.2">
      <c r="A123" s="1" t="s">
        <v>210</v>
      </c>
      <c r="B123" s="96">
        <v>45657</v>
      </c>
      <c r="C123" s="62">
        <v>8</v>
      </c>
      <c r="D123" s="62">
        <f t="shared" si="3"/>
        <v>1.6</v>
      </c>
      <c r="E123" s="62">
        <v>20</v>
      </c>
      <c r="F123" s="97">
        <f t="shared" si="4"/>
        <v>21.6</v>
      </c>
      <c r="G123" s="59"/>
      <c r="H123" s="62">
        <f t="shared" si="5"/>
        <v>20</v>
      </c>
    </row>
    <row r="124" spans="1:9" s="8" customFormat="1" x14ac:dyDescent="0.2">
      <c r="A124" s="1"/>
      <c r="B124" s="96">
        <v>45838</v>
      </c>
      <c r="C124" s="62">
        <v>9</v>
      </c>
      <c r="D124" s="62">
        <f t="shared" si="3"/>
        <v>0.8</v>
      </c>
      <c r="E124" s="59">
        <v>0</v>
      </c>
      <c r="F124" s="97">
        <f t="shared" si="4"/>
        <v>0.8</v>
      </c>
      <c r="G124" s="59"/>
      <c r="H124" s="62">
        <f t="shared" si="5"/>
        <v>20</v>
      </c>
    </row>
    <row r="125" spans="1:9" s="8" customFormat="1" x14ac:dyDescent="0.2">
      <c r="A125" s="1" t="s">
        <v>211</v>
      </c>
      <c r="B125" s="96">
        <v>46022</v>
      </c>
      <c r="C125" s="62">
        <v>10</v>
      </c>
      <c r="D125" s="62">
        <f t="shared" si="3"/>
        <v>0.8</v>
      </c>
      <c r="E125" s="62">
        <v>20</v>
      </c>
      <c r="F125" s="97">
        <f t="shared" si="4"/>
        <v>20.8</v>
      </c>
      <c r="G125" s="59"/>
      <c r="H125" s="62">
        <f t="shared" si="5"/>
        <v>0</v>
      </c>
    </row>
    <row r="126" spans="1:9" s="8" customFormat="1" x14ac:dyDescent="0.2">
      <c r="A126" s="14"/>
    </row>
    <row r="127" spans="1:9" s="8" customFormat="1" x14ac:dyDescent="0.2">
      <c r="A127" s="14"/>
      <c r="F127" s="65">
        <v>0.03</v>
      </c>
      <c r="G127" s="62" t="s">
        <v>335</v>
      </c>
      <c r="I127" s="14" t="s">
        <v>2368</v>
      </c>
    </row>
    <row r="128" spans="1:9" s="8" customFormat="1" x14ac:dyDescent="0.2">
      <c r="A128" s="14"/>
      <c r="I128" s="8" t="s">
        <v>2347</v>
      </c>
    </row>
    <row r="129" spans="1:9" s="8" customFormat="1" x14ac:dyDescent="0.2">
      <c r="A129" s="14"/>
      <c r="E129" s="339">
        <f>NPV(F127,F117:F125)</f>
        <v>104.47911684111952</v>
      </c>
      <c r="F129" s="570" t="s">
        <v>2351</v>
      </c>
      <c r="G129" s="570"/>
      <c r="I129" s="8" t="s">
        <v>2348</v>
      </c>
    </row>
    <row r="130" spans="1:9" s="8" customFormat="1" x14ac:dyDescent="0.2">
      <c r="A130" s="14"/>
      <c r="I130" s="8" t="s">
        <v>2349</v>
      </c>
    </row>
    <row r="131" spans="1:9" s="8" customFormat="1" x14ac:dyDescent="0.2">
      <c r="A131" s="14"/>
      <c r="I131" s="8" t="s">
        <v>2350</v>
      </c>
    </row>
    <row r="132" spans="1:9" s="8" customFormat="1" ht="17" thickBot="1" x14ac:dyDescent="0.25">
      <c r="A132" s="14"/>
      <c r="G132" s="8" t="s">
        <v>2352</v>
      </c>
    </row>
    <row r="133" spans="1:9" s="8" customFormat="1" ht="17" thickBot="1" x14ac:dyDescent="0.25">
      <c r="A133" s="14" t="s">
        <v>2354</v>
      </c>
      <c r="C133" s="340">
        <f>E129*1.0609^0.25</f>
        <v>106.03472276371224</v>
      </c>
      <c r="G133" s="8" t="s">
        <v>2353</v>
      </c>
    </row>
    <row r="134" spans="1:9" s="8" customFormat="1" x14ac:dyDescent="0.2">
      <c r="A134" s="14"/>
    </row>
    <row r="135" spans="1:9" s="8" customFormat="1" x14ac:dyDescent="0.2">
      <c r="A135" s="8" t="s">
        <v>3262</v>
      </c>
    </row>
    <row r="136" spans="1:9" s="8" customFormat="1" x14ac:dyDescent="0.2">
      <c r="A136" s="14"/>
    </row>
    <row r="137" spans="1:9" s="8" customFormat="1" x14ac:dyDescent="0.2">
      <c r="A137" s="14"/>
      <c r="E137" s="113">
        <v>6.0900000000000003E-2</v>
      </c>
      <c r="F137" s="8" t="s">
        <v>117</v>
      </c>
    </row>
    <row r="138" spans="1:9" s="8" customFormat="1" x14ac:dyDescent="0.2">
      <c r="A138" s="14"/>
      <c r="E138" s="62">
        <f>3/12</f>
        <v>0.25</v>
      </c>
      <c r="F138" s="8" t="s">
        <v>119</v>
      </c>
    </row>
    <row r="139" spans="1:9" s="8" customFormat="1" x14ac:dyDescent="0.2">
      <c r="A139" s="14"/>
      <c r="E139" s="62">
        <v>0</v>
      </c>
      <c r="F139" s="8" t="s">
        <v>123</v>
      </c>
    </row>
    <row r="140" spans="1:9" s="8" customFormat="1" ht="17" thickBot="1" x14ac:dyDescent="0.25">
      <c r="A140" s="14"/>
      <c r="E140" s="339">
        <f>-E129</f>
        <v>-104.47911684111952</v>
      </c>
      <c r="F140" s="8" t="s">
        <v>121</v>
      </c>
    </row>
    <row r="141" spans="1:9" s="8" customFormat="1" ht="17" thickBot="1" x14ac:dyDescent="0.25">
      <c r="A141" s="14"/>
      <c r="E141" s="476">
        <f>FV(E137,E138,E139,E140)</f>
        <v>106.03472276371224</v>
      </c>
      <c r="F141" s="8" t="s">
        <v>125</v>
      </c>
    </row>
    <row r="142" spans="1:9" s="8" customFormat="1" x14ac:dyDescent="0.2">
      <c r="A142" s="14"/>
    </row>
    <row r="143" spans="1:9" s="1" customFormat="1" x14ac:dyDescent="0.2">
      <c r="A143" s="4" t="s">
        <v>197</v>
      </c>
      <c r="C143" s="42"/>
    </row>
    <row r="144" spans="1:9" s="1" customFormat="1" x14ac:dyDescent="0.2">
      <c r="C144" s="42"/>
    </row>
    <row r="145" spans="1:8" s="1" customFormat="1" x14ac:dyDescent="0.2">
      <c r="B145" s="39" t="s">
        <v>12</v>
      </c>
      <c r="C145" s="39" t="s">
        <v>202</v>
      </c>
      <c r="D145" s="39" t="s">
        <v>203</v>
      </c>
      <c r="E145" s="39" t="s">
        <v>204</v>
      </c>
      <c r="F145" s="39" t="s">
        <v>205</v>
      </c>
      <c r="G145" s="39"/>
      <c r="H145" s="39" t="s">
        <v>206</v>
      </c>
    </row>
    <row r="146" spans="1:8" s="1" customFormat="1" x14ac:dyDescent="0.2">
      <c r="A146" s="1" t="s">
        <v>2312</v>
      </c>
      <c r="B146" s="79">
        <v>44197</v>
      </c>
      <c r="C146" s="62">
        <v>0</v>
      </c>
      <c r="D146" s="60"/>
      <c r="E146" s="60"/>
      <c r="F146" s="60"/>
      <c r="G146" s="7"/>
      <c r="H146" s="62">
        <v>100</v>
      </c>
    </row>
    <row r="147" spans="1:8" s="1" customFormat="1" x14ac:dyDescent="0.2">
      <c r="B147" s="79">
        <v>44377</v>
      </c>
      <c r="C147" s="62">
        <v>1</v>
      </c>
      <c r="D147" s="105">
        <f>8%/2*H146</f>
        <v>4</v>
      </c>
      <c r="E147" s="105">
        <v>0</v>
      </c>
      <c r="F147" s="105">
        <f>D147+E147</f>
        <v>4</v>
      </c>
      <c r="G147" s="7"/>
      <c r="H147" s="62">
        <f>H146</f>
        <v>100</v>
      </c>
    </row>
    <row r="148" spans="1:8" s="1" customFormat="1" x14ac:dyDescent="0.2">
      <c r="A148" s="1" t="s">
        <v>207</v>
      </c>
      <c r="B148" s="96">
        <v>44561</v>
      </c>
      <c r="C148" s="62">
        <v>2</v>
      </c>
      <c r="D148" s="105">
        <f t="shared" ref="D148:D156" si="6">4%*H147</f>
        <v>4</v>
      </c>
      <c r="E148" s="105">
        <f>100/5</f>
        <v>20</v>
      </c>
      <c r="F148" s="107">
        <f>D148+E148</f>
        <v>24</v>
      </c>
      <c r="G148" s="59"/>
      <c r="H148" s="62">
        <f>H147-E148</f>
        <v>80</v>
      </c>
    </row>
    <row r="149" spans="1:8" s="1" customFormat="1" x14ac:dyDescent="0.2">
      <c r="A149" s="13" t="s">
        <v>2355</v>
      </c>
      <c r="B149" s="341">
        <v>44742</v>
      </c>
      <c r="C149" s="342">
        <v>3</v>
      </c>
      <c r="D149" s="105">
        <f t="shared" si="6"/>
        <v>3.2</v>
      </c>
      <c r="E149" s="105">
        <v>0</v>
      </c>
      <c r="F149" s="107">
        <f>D149+E149</f>
        <v>3.2</v>
      </c>
      <c r="G149" s="59"/>
      <c r="H149" s="62">
        <f>H148</f>
        <v>80</v>
      </c>
    </row>
    <row r="150" spans="1:8" s="1" customFormat="1" x14ac:dyDescent="0.2">
      <c r="A150" s="1" t="s">
        <v>208</v>
      </c>
      <c r="B150" s="96">
        <v>44926</v>
      </c>
      <c r="C150" s="62">
        <v>4</v>
      </c>
      <c r="D150" s="62">
        <f t="shared" si="6"/>
        <v>3.2</v>
      </c>
      <c r="E150" s="62">
        <f>100/5</f>
        <v>20</v>
      </c>
      <c r="F150" s="97">
        <f>D150+E150</f>
        <v>23.2</v>
      </c>
      <c r="G150" s="59"/>
      <c r="H150" s="62">
        <f>H149-E150</f>
        <v>60</v>
      </c>
    </row>
    <row r="151" spans="1:8" s="1" customFormat="1" x14ac:dyDescent="0.2">
      <c r="B151" s="96">
        <v>45107</v>
      </c>
      <c r="C151" s="62">
        <v>5</v>
      </c>
      <c r="D151" s="62">
        <f t="shared" si="6"/>
        <v>2.4</v>
      </c>
      <c r="E151" s="59">
        <v>0</v>
      </c>
      <c r="F151" s="97">
        <f t="shared" ref="F151:F156" si="7">D151+E151</f>
        <v>2.4</v>
      </c>
      <c r="G151" s="59"/>
      <c r="H151" s="62">
        <f t="shared" ref="H151:H156" si="8">H150-E151</f>
        <v>60</v>
      </c>
    </row>
    <row r="152" spans="1:8" s="1" customFormat="1" x14ac:dyDescent="0.2">
      <c r="A152" s="1" t="s">
        <v>209</v>
      </c>
      <c r="B152" s="96">
        <v>45291</v>
      </c>
      <c r="C152" s="62">
        <v>6</v>
      </c>
      <c r="D152" s="62">
        <f t="shared" si="6"/>
        <v>2.4</v>
      </c>
      <c r="E152" s="62">
        <v>20</v>
      </c>
      <c r="F152" s="97">
        <f t="shared" si="7"/>
        <v>22.4</v>
      </c>
      <c r="G152" s="59"/>
      <c r="H152" s="62">
        <f t="shared" si="8"/>
        <v>40</v>
      </c>
    </row>
    <row r="153" spans="1:8" s="1" customFormat="1" x14ac:dyDescent="0.2">
      <c r="B153" s="96">
        <v>45473</v>
      </c>
      <c r="C153" s="62">
        <v>7</v>
      </c>
      <c r="D153" s="62">
        <f t="shared" si="6"/>
        <v>1.6</v>
      </c>
      <c r="E153" s="59">
        <v>0</v>
      </c>
      <c r="F153" s="97">
        <f t="shared" si="7"/>
        <v>1.6</v>
      </c>
      <c r="G153" s="59"/>
      <c r="H153" s="62">
        <f t="shared" si="8"/>
        <v>40</v>
      </c>
    </row>
    <row r="154" spans="1:8" s="1" customFormat="1" x14ac:dyDescent="0.2">
      <c r="A154" s="1" t="s">
        <v>210</v>
      </c>
      <c r="B154" s="96">
        <v>45657</v>
      </c>
      <c r="C154" s="62">
        <v>8</v>
      </c>
      <c r="D154" s="62">
        <f t="shared" si="6"/>
        <v>1.6</v>
      </c>
      <c r="E154" s="62">
        <v>20</v>
      </c>
      <c r="F154" s="97">
        <f t="shared" si="7"/>
        <v>21.6</v>
      </c>
      <c r="G154" s="59"/>
      <c r="H154" s="62">
        <f t="shared" si="8"/>
        <v>20</v>
      </c>
    </row>
    <row r="155" spans="1:8" s="1" customFormat="1" x14ac:dyDescent="0.2">
      <c r="B155" s="96">
        <v>45838</v>
      </c>
      <c r="C155" s="62">
        <v>9</v>
      </c>
      <c r="D155" s="62">
        <f t="shared" si="6"/>
        <v>0.8</v>
      </c>
      <c r="E155" s="59">
        <v>0</v>
      </c>
      <c r="F155" s="97">
        <f t="shared" si="7"/>
        <v>0.8</v>
      </c>
      <c r="G155" s="59"/>
      <c r="H155" s="62">
        <f t="shared" si="8"/>
        <v>20</v>
      </c>
    </row>
    <row r="156" spans="1:8" s="1" customFormat="1" x14ac:dyDescent="0.2">
      <c r="A156" s="1" t="s">
        <v>211</v>
      </c>
      <c r="B156" s="96">
        <v>46022</v>
      </c>
      <c r="C156" s="62">
        <v>10</v>
      </c>
      <c r="D156" s="62">
        <f t="shared" si="6"/>
        <v>0.8</v>
      </c>
      <c r="E156" s="62">
        <v>20</v>
      </c>
      <c r="F156" s="97">
        <f t="shared" si="7"/>
        <v>20.8</v>
      </c>
      <c r="G156" s="59"/>
      <c r="H156" s="62">
        <f t="shared" si="8"/>
        <v>0</v>
      </c>
    </row>
    <row r="157" spans="1:8" s="1" customFormat="1" x14ac:dyDescent="0.2">
      <c r="C157" s="42"/>
    </row>
    <row r="158" spans="1:8" s="1" customFormat="1" x14ac:dyDescent="0.2">
      <c r="C158" s="42"/>
      <c r="F158" s="11">
        <v>0.03</v>
      </c>
      <c r="G158" s="1" t="s">
        <v>335</v>
      </c>
    </row>
    <row r="159" spans="1:8" s="1" customFormat="1" x14ac:dyDescent="0.2">
      <c r="C159" s="42"/>
    </row>
    <row r="160" spans="1:8" s="1" customFormat="1" x14ac:dyDescent="0.2">
      <c r="A160" s="1" t="s">
        <v>2356</v>
      </c>
      <c r="C160" s="42"/>
      <c r="F160" s="42">
        <f>NPV(F158,F150:F156)</f>
        <v>82.921895056743708</v>
      </c>
      <c r="G160" s="1" t="s">
        <v>1809</v>
      </c>
    </row>
    <row r="161" spans="1:8" s="1" customFormat="1" x14ac:dyDescent="0.2">
      <c r="C161" s="42"/>
    </row>
    <row r="162" spans="1:8" s="1" customFormat="1" x14ac:dyDescent="0.2">
      <c r="A162" s="1" t="s">
        <v>2357</v>
      </c>
      <c r="C162" s="42"/>
    </row>
    <row r="163" spans="1:8" s="1" customFormat="1" x14ac:dyDescent="0.2">
      <c r="A163" s="1" t="s">
        <v>2358</v>
      </c>
      <c r="C163" s="42"/>
    </row>
    <row r="164" spans="1:8" s="1" customFormat="1" x14ac:dyDescent="0.2">
      <c r="A164" s="1" t="s">
        <v>2359</v>
      </c>
      <c r="C164" s="42"/>
    </row>
    <row r="165" spans="1:8" s="1" customFormat="1" x14ac:dyDescent="0.2">
      <c r="C165" s="42"/>
    </row>
    <row r="166" spans="1:8" s="8" customFormat="1" x14ac:dyDescent="0.2">
      <c r="A166" s="8" t="s">
        <v>223</v>
      </c>
      <c r="C166" s="98"/>
    </row>
    <row r="167" spans="1:8" s="8" customFormat="1" x14ac:dyDescent="0.2">
      <c r="A167" s="8" t="s">
        <v>224</v>
      </c>
      <c r="C167" s="98"/>
    </row>
    <row r="168" spans="1:8" s="8" customFormat="1" x14ac:dyDescent="0.2">
      <c r="C168" s="98"/>
    </row>
    <row r="169" spans="1:8" s="8" customFormat="1" x14ac:dyDescent="0.2">
      <c r="A169" s="14" t="s">
        <v>2360</v>
      </c>
      <c r="C169" s="98"/>
    </row>
    <row r="170" spans="1:8" s="8" customFormat="1" x14ac:dyDescent="0.2">
      <c r="C170" s="98"/>
    </row>
    <row r="171" spans="1:8" s="8" customFormat="1" x14ac:dyDescent="0.2">
      <c r="A171" s="1"/>
      <c r="B171" s="39" t="s">
        <v>12</v>
      </c>
      <c r="C171" s="39" t="s">
        <v>202</v>
      </c>
      <c r="D171" s="39" t="s">
        <v>203</v>
      </c>
      <c r="E171" s="39" t="s">
        <v>204</v>
      </c>
      <c r="F171" s="39" t="s">
        <v>205</v>
      </c>
      <c r="G171" s="39"/>
      <c r="H171" s="39" t="s">
        <v>206</v>
      </c>
    </row>
    <row r="172" spans="1:8" s="8" customFormat="1" x14ac:dyDescent="0.2">
      <c r="A172" s="1" t="s">
        <v>2312</v>
      </c>
      <c r="B172" s="79">
        <v>44197</v>
      </c>
      <c r="C172" s="62">
        <v>0</v>
      </c>
      <c r="D172" s="60"/>
      <c r="E172" s="60"/>
      <c r="F172" s="60"/>
      <c r="G172" s="7"/>
      <c r="H172" s="62">
        <v>100</v>
      </c>
    </row>
    <row r="173" spans="1:8" s="8" customFormat="1" x14ac:dyDescent="0.2">
      <c r="A173" s="1"/>
      <c r="B173" s="79">
        <v>44377</v>
      </c>
      <c r="C173" s="62">
        <v>1</v>
      </c>
      <c r="D173" s="105">
        <f>8%/2*H172</f>
        <v>4</v>
      </c>
      <c r="E173" s="343">
        <v>0</v>
      </c>
      <c r="F173" s="105">
        <f>D173+E173</f>
        <v>4</v>
      </c>
      <c r="G173" s="60"/>
      <c r="H173" s="105">
        <f>H172</f>
        <v>100</v>
      </c>
    </row>
    <row r="174" spans="1:8" s="8" customFormat="1" x14ac:dyDescent="0.2">
      <c r="A174" s="1" t="s">
        <v>207</v>
      </c>
      <c r="B174" s="96">
        <v>44561</v>
      </c>
      <c r="C174" s="62">
        <v>2</v>
      </c>
      <c r="D174" s="105">
        <f t="shared" ref="D174:D182" si="9">4%*H173</f>
        <v>4</v>
      </c>
      <c r="E174" s="343">
        <f>100/5</f>
        <v>20</v>
      </c>
      <c r="F174" s="107">
        <f>D174+E174</f>
        <v>24</v>
      </c>
      <c r="G174" s="61"/>
      <c r="H174" s="105">
        <f>H173-E174</f>
        <v>80</v>
      </c>
    </row>
    <row r="175" spans="1:8" s="8" customFormat="1" x14ac:dyDescent="0.2">
      <c r="A175" s="1"/>
      <c r="B175" s="96">
        <v>44742</v>
      </c>
      <c r="C175" s="62">
        <v>3</v>
      </c>
      <c r="D175" s="105">
        <f t="shared" si="9"/>
        <v>3.2</v>
      </c>
      <c r="E175" s="343">
        <v>0</v>
      </c>
      <c r="F175" s="107">
        <f>D175+E175</f>
        <v>3.2</v>
      </c>
      <c r="G175" s="61"/>
      <c r="H175" s="105">
        <f>H174</f>
        <v>80</v>
      </c>
    </row>
    <row r="176" spans="1:8" s="8" customFormat="1" x14ac:dyDescent="0.2">
      <c r="A176" s="1" t="s">
        <v>208</v>
      </c>
      <c r="B176" s="96">
        <v>44926</v>
      </c>
      <c r="C176" s="62">
        <v>4</v>
      </c>
      <c r="D176" s="105">
        <f t="shared" si="9"/>
        <v>3.2</v>
      </c>
      <c r="E176" s="343">
        <f>100/5</f>
        <v>20</v>
      </c>
      <c r="F176" s="107">
        <f>D176+E176</f>
        <v>23.2</v>
      </c>
      <c r="G176" s="61"/>
      <c r="H176" s="105">
        <f>H175-E176</f>
        <v>60</v>
      </c>
    </row>
    <row r="177" spans="1:8" s="8" customFormat="1" x14ac:dyDescent="0.2">
      <c r="A177" s="1"/>
      <c r="B177" s="96">
        <v>45107</v>
      </c>
      <c r="C177" s="62">
        <v>5</v>
      </c>
      <c r="D177" s="105">
        <f t="shared" si="9"/>
        <v>2.4</v>
      </c>
      <c r="E177" s="343">
        <v>0</v>
      </c>
      <c r="F177" s="107">
        <f t="shared" ref="F177:F182" si="10">D177+E177</f>
        <v>2.4</v>
      </c>
      <c r="G177" s="61"/>
      <c r="H177" s="105">
        <f t="shared" ref="H177:H182" si="11">H176-E177</f>
        <v>60</v>
      </c>
    </row>
    <row r="178" spans="1:8" s="8" customFormat="1" x14ac:dyDescent="0.2">
      <c r="A178" s="1" t="s">
        <v>209</v>
      </c>
      <c r="B178" s="96">
        <v>45291</v>
      </c>
      <c r="C178" s="62">
        <v>6</v>
      </c>
      <c r="D178" s="105">
        <f t="shared" si="9"/>
        <v>2.4</v>
      </c>
      <c r="E178" s="105">
        <v>20</v>
      </c>
      <c r="F178" s="107">
        <f t="shared" si="10"/>
        <v>22.4</v>
      </c>
      <c r="G178" s="61"/>
      <c r="H178" s="105">
        <f t="shared" si="11"/>
        <v>40</v>
      </c>
    </row>
    <row r="179" spans="1:8" s="8" customFormat="1" x14ac:dyDescent="0.2">
      <c r="A179" s="13" t="s">
        <v>276</v>
      </c>
      <c r="B179" s="341">
        <v>45473</v>
      </c>
      <c r="C179" s="383">
        <v>7</v>
      </c>
      <c r="D179" s="62">
        <f t="shared" si="9"/>
        <v>1.6</v>
      </c>
      <c r="E179" s="59">
        <v>0</v>
      </c>
      <c r="F179" s="97">
        <f t="shared" si="10"/>
        <v>1.6</v>
      </c>
      <c r="G179" s="59"/>
      <c r="H179" s="62">
        <f t="shared" si="11"/>
        <v>40</v>
      </c>
    </row>
    <row r="180" spans="1:8" s="8" customFormat="1" x14ac:dyDescent="0.2">
      <c r="A180" s="1" t="s">
        <v>210</v>
      </c>
      <c r="B180" s="96">
        <v>45657</v>
      </c>
      <c r="C180" s="62">
        <v>8</v>
      </c>
      <c r="D180" s="62">
        <f t="shared" si="9"/>
        <v>1.6</v>
      </c>
      <c r="E180" s="62">
        <v>20</v>
      </c>
      <c r="F180" s="97">
        <f t="shared" si="10"/>
        <v>21.6</v>
      </c>
      <c r="G180" s="59"/>
      <c r="H180" s="62">
        <f t="shared" si="11"/>
        <v>20</v>
      </c>
    </row>
    <row r="181" spans="1:8" s="8" customFormat="1" x14ac:dyDescent="0.2">
      <c r="A181" s="1"/>
      <c r="B181" s="96">
        <v>45838</v>
      </c>
      <c r="C181" s="62">
        <v>9</v>
      </c>
      <c r="D181" s="62">
        <f t="shared" si="9"/>
        <v>0.8</v>
      </c>
      <c r="E181" s="59">
        <v>0</v>
      </c>
      <c r="F181" s="97">
        <f t="shared" si="10"/>
        <v>0.8</v>
      </c>
      <c r="G181" s="59"/>
      <c r="H181" s="62">
        <f t="shared" si="11"/>
        <v>20</v>
      </c>
    </row>
    <row r="182" spans="1:8" s="8" customFormat="1" x14ac:dyDescent="0.2">
      <c r="A182" s="1" t="s">
        <v>211</v>
      </c>
      <c r="B182" s="96">
        <v>46022</v>
      </c>
      <c r="C182" s="62">
        <v>10</v>
      </c>
      <c r="D182" s="62">
        <f t="shared" si="9"/>
        <v>0.8</v>
      </c>
      <c r="E182" s="62">
        <v>20</v>
      </c>
      <c r="F182" s="97">
        <f t="shared" si="10"/>
        <v>20.8</v>
      </c>
      <c r="G182" s="59"/>
      <c r="H182" s="62">
        <f t="shared" si="11"/>
        <v>0</v>
      </c>
    </row>
    <row r="183" spans="1:8" s="8" customFormat="1" x14ac:dyDescent="0.2">
      <c r="C183" s="98"/>
    </row>
    <row r="184" spans="1:8" s="8" customFormat="1" x14ac:dyDescent="0.2">
      <c r="A184" s="8" t="s">
        <v>2361</v>
      </c>
      <c r="C184" s="98"/>
    </row>
    <row r="185" spans="1:8" s="8" customFormat="1" x14ac:dyDescent="0.2">
      <c r="A185" s="8" t="s">
        <v>2362</v>
      </c>
      <c r="C185" s="98"/>
    </row>
    <row r="186" spans="1:8" s="8" customFormat="1" x14ac:dyDescent="0.2">
      <c r="C186" s="98"/>
    </row>
    <row r="187" spans="1:8" s="8" customFormat="1" x14ac:dyDescent="0.2">
      <c r="C187" s="98"/>
      <c r="F187" s="65">
        <v>0.03</v>
      </c>
      <c r="G187" s="8" t="s">
        <v>335</v>
      </c>
    </row>
    <row r="188" spans="1:8" s="8" customFormat="1" x14ac:dyDescent="0.2">
      <c r="C188" s="98"/>
      <c r="F188" s="62"/>
    </row>
    <row r="189" spans="1:8" s="8" customFormat="1" x14ac:dyDescent="0.2">
      <c r="A189" s="8" t="s">
        <v>2365</v>
      </c>
      <c r="C189" s="98"/>
      <c r="E189" s="339">
        <f>NPV(F187,F179:F182)</f>
        <v>41.126113619670377</v>
      </c>
      <c r="G189" s="8" t="s">
        <v>2363</v>
      </c>
      <c r="H189" s="8" t="s">
        <v>2367</v>
      </c>
    </row>
    <row r="190" spans="1:8" s="8" customFormat="1" x14ac:dyDescent="0.2">
      <c r="A190" s="8" t="s">
        <v>2366</v>
      </c>
      <c r="C190" s="344">
        <f>E189*(1+6.09%)^0.5</f>
        <v>42.359897028260491</v>
      </c>
      <c r="G190" s="8" t="s">
        <v>2364</v>
      </c>
    </row>
    <row r="191" spans="1:8" s="8" customFormat="1" x14ac:dyDescent="0.2">
      <c r="C191" s="98"/>
    </row>
    <row r="192" spans="1:8" s="1" customFormat="1" x14ac:dyDescent="0.2">
      <c r="A192" s="81" t="s">
        <v>2399</v>
      </c>
      <c r="B192" s="38"/>
      <c r="C192" s="38"/>
      <c r="D192" s="38"/>
      <c r="E192" s="38"/>
      <c r="F192" s="38"/>
      <c r="G192" s="45"/>
      <c r="H192" s="38"/>
    </row>
    <row r="193" spans="1:11" s="1" customFormat="1" x14ac:dyDescent="0.2">
      <c r="A193" s="1" t="s">
        <v>3263</v>
      </c>
    </row>
    <row r="194" spans="1:11" s="1" customFormat="1" x14ac:dyDescent="0.2">
      <c r="A194" s="1" t="s">
        <v>2370</v>
      </c>
    </row>
    <row r="195" spans="1:11" s="1" customFormat="1" ht="17" thickBot="1" x14ac:dyDescent="0.25">
      <c r="A195" s="1" t="s">
        <v>2371</v>
      </c>
    </row>
    <row r="196" spans="1:11" s="1" customFormat="1" x14ac:dyDescent="0.2">
      <c r="A196" s="1" t="s">
        <v>194</v>
      </c>
      <c r="G196" s="16" t="s">
        <v>798</v>
      </c>
      <c r="H196" s="17"/>
      <c r="I196" s="17"/>
      <c r="J196" s="17"/>
      <c r="K196" s="18"/>
    </row>
    <row r="197" spans="1:11" s="1" customFormat="1" x14ac:dyDescent="0.2">
      <c r="A197" s="1" t="s">
        <v>195</v>
      </c>
      <c r="G197" s="19" t="s">
        <v>2375</v>
      </c>
      <c r="K197" s="20"/>
    </row>
    <row r="198" spans="1:11" s="1" customFormat="1" x14ac:dyDescent="0.2">
      <c r="A198" s="1" t="s">
        <v>2372</v>
      </c>
      <c r="G198" s="19" t="s">
        <v>2376</v>
      </c>
      <c r="K198" s="20"/>
    </row>
    <row r="199" spans="1:11" s="1" customFormat="1" x14ac:dyDescent="0.2">
      <c r="A199" s="1" t="s">
        <v>2373</v>
      </c>
      <c r="G199" s="19" t="s">
        <v>2377</v>
      </c>
      <c r="K199" s="20"/>
    </row>
    <row r="200" spans="1:11" s="8" customFormat="1" x14ac:dyDescent="0.2">
      <c r="A200" s="8" t="s">
        <v>2374</v>
      </c>
      <c r="C200" s="98"/>
      <c r="G200" s="31" t="s">
        <v>2378</v>
      </c>
      <c r="K200" s="32"/>
    </row>
    <row r="201" spans="1:11" s="8" customFormat="1" ht="17" thickBot="1" x14ac:dyDescent="0.25">
      <c r="C201" s="98"/>
      <c r="G201" s="33" t="s">
        <v>2379</v>
      </c>
      <c r="H201" s="34"/>
      <c r="I201" s="34"/>
      <c r="J201" s="34"/>
      <c r="K201" s="35"/>
    </row>
    <row r="202" spans="1:11" s="8" customFormat="1" x14ac:dyDescent="0.2">
      <c r="C202" s="98"/>
    </row>
    <row r="203" spans="1:11" s="8" customFormat="1" x14ac:dyDescent="0.2">
      <c r="A203" s="14" t="s">
        <v>2380</v>
      </c>
      <c r="C203" s="98"/>
    </row>
    <row r="204" spans="1:11" s="8" customFormat="1" x14ac:dyDescent="0.2">
      <c r="A204" s="323" t="s">
        <v>12</v>
      </c>
      <c r="B204" s="323" t="s">
        <v>202</v>
      </c>
      <c r="C204" s="345" t="s">
        <v>203</v>
      </c>
      <c r="D204" s="323" t="s">
        <v>304</v>
      </c>
      <c r="E204" s="323" t="s">
        <v>2245</v>
      </c>
      <c r="F204" s="323"/>
      <c r="G204" s="323" t="s">
        <v>2241</v>
      </c>
    </row>
    <row r="205" spans="1:11" s="8" customFormat="1" x14ac:dyDescent="0.2">
      <c r="A205" s="79">
        <v>44927</v>
      </c>
      <c r="B205" s="62">
        <v>0</v>
      </c>
      <c r="C205" s="477"/>
      <c r="D205" s="60"/>
      <c r="E205" s="60"/>
      <c r="F205" s="7"/>
      <c r="G205" s="8">
        <v>100</v>
      </c>
    </row>
    <row r="206" spans="1:11" s="8" customFormat="1" x14ac:dyDescent="0.2">
      <c r="A206" s="79">
        <v>45107</v>
      </c>
      <c r="B206" s="62">
        <v>1</v>
      </c>
      <c r="C206" s="347">
        <f>4%/2*G205</f>
        <v>2</v>
      </c>
      <c r="D206" s="347"/>
      <c r="E206" s="348">
        <f>C206+D206</f>
        <v>2</v>
      </c>
      <c r="G206" s="8">
        <f>G205-D206</f>
        <v>100</v>
      </c>
    </row>
    <row r="207" spans="1:11" s="8" customFormat="1" x14ac:dyDescent="0.2">
      <c r="A207" s="79">
        <v>45291</v>
      </c>
      <c r="B207" s="62">
        <f>B206+1</f>
        <v>2</v>
      </c>
      <c r="C207" s="347">
        <f t="shared" ref="C207:C213" si="12">4%/2*G206</f>
        <v>2</v>
      </c>
      <c r="D207" s="349">
        <f>100/4</f>
        <v>25</v>
      </c>
      <c r="E207" s="348">
        <f t="shared" ref="E207:E213" si="13">C207+D207</f>
        <v>27</v>
      </c>
      <c r="G207" s="8">
        <f t="shared" ref="G207:G213" si="14">G206-D207</f>
        <v>75</v>
      </c>
    </row>
    <row r="208" spans="1:11" s="8" customFormat="1" x14ac:dyDescent="0.2">
      <c r="A208" s="79">
        <v>45473</v>
      </c>
      <c r="B208" s="62">
        <f t="shared" ref="B208:B213" si="15">B207+1</f>
        <v>3</v>
      </c>
      <c r="C208" s="347">
        <f t="shared" si="12"/>
        <v>1.5</v>
      </c>
      <c r="D208" s="347"/>
      <c r="E208" s="348">
        <f t="shared" si="13"/>
        <v>1.5</v>
      </c>
      <c r="G208" s="8">
        <f t="shared" si="14"/>
        <v>75</v>
      </c>
    </row>
    <row r="209" spans="1:7" s="8" customFormat="1" x14ac:dyDescent="0.2">
      <c r="A209" s="79">
        <v>45657</v>
      </c>
      <c r="B209" s="62">
        <f t="shared" si="15"/>
        <v>4</v>
      </c>
      <c r="C209" s="347">
        <f t="shared" si="12"/>
        <v>1.5</v>
      </c>
      <c r="D209" s="349">
        <f>100/4</f>
        <v>25</v>
      </c>
      <c r="E209" s="348">
        <f t="shared" si="13"/>
        <v>26.5</v>
      </c>
      <c r="G209" s="8">
        <f t="shared" si="14"/>
        <v>50</v>
      </c>
    </row>
    <row r="210" spans="1:7" s="8" customFormat="1" x14ac:dyDescent="0.2">
      <c r="A210" s="79">
        <v>45838</v>
      </c>
      <c r="B210" s="62">
        <f t="shared" si="15"/>
        <v>5</v>
      </c>
      <c r="C210" s="347">
        <f t="shared" si="12"/>
        <v>1</v>
      </c>
      <c r="D210" s="347"/>
      <c r="E210" s="348">
        <f t="shared" si="13"/>
        <v>1</v>
      </c>
      <c r="G210" s="8">
        <f t="shared" si="14"/>
        <v>50</v>
      </c>
    </row>
    <row r="211" spans="1:7" s="8" customFormat="1" x14ac:dyDescent="0.2">
      <c r="A211" s="79">
        <v>46022</v>
      </c>
      <c r="B211" s="62">
        <f t="shared" si="15"/>
        <v>6</v>
      </c>
      <c r="C211" s="347">
        <f t="shared" si="12"/>
        <v>1</v>
      </c>
      <c r="D211" s="349">
        <f>100/4</f>
        <v>25</v>
      </c>
      <c r="E211" s="348">
        <f t="shared" si="13"/>
        <v>26</v>
      </c>
      <c r="G211" s="8">
        <f t="shared" si="14"/>
        <v>25</v>
      </c>
    </row>
    <row r="212" spans="1:7" s="8" customFormat="1" x14ac:dyDescent="0.2">
      <c r="A212" s="79">
        <v>46203</v>
      </c>
      <c r="B212" s="62">
        <f t="shared" si="15"/>
        <v>7</v>
      </c>
      <c r="C212" s="347">
        <f t="shared" si="12"/>
        <v>0.5</v>
      </c>
      <c r="D212" s="347"/>
      <c r="E212" s="348">
        <f t="shared" si="13"/>
        <v>0.5</v>
      </c>
      <c r="G212" s="8">
        <f t="shared" si="14"/>
        <v>25</v>
      </c>
    </row>
    <row r="213" spans="1:7" s="8" customFormat="1" x14ac:dyDescent="0.2">
      <c r="A213" s="79">
        <v>46387</v>
      </c>
      <c r="B213" s="62">
        <f t="shared" si="15"/>
        <v>8</v>
      </c>
      <c r="C213" s="347">
        <f t="shared" si="12"/>
        <v>0.5</v>
      </c>
      <c r="D213" s="349">
        <f>100/4</f>
        <v>25</v>
      </c>
      <c r="E213" s="348">
        <f t="shared" si="13"/>
        <v>25.5</v>
      </c>
      <c r="G213" s="8">
        <f t="shared" si="14"/>
        <v>0</v>
      </c>
    </row>
    <row r="214" spans="1:7" s="8" customFormat="1" ht="17" thickBot="1" x14ac:dyDescent="0.25">
      <c r="C214" s="98"/>
    </row>
    <row r="215" spans="1:7" s="8" customFormat="1" ht="17" thickBot="1" x14ac:dyDescent="0.25">
      <c r="A215" s="100" t="s">
        <v>2381</v>
      </c>
      <c r="B215" s="338"/>
      <c r="C215" s="98"/>
      <c r="E215" s="350">
        <f>(1+2.01%)^0.5-1</f>
        <v>1.0000000000000009E-2</v>
      </c>
      <c r="G215" s="8" t="s">
        <v>2382</v>
      </c>
    </row>
    <row r="216" spans="1:7" s="8" customFormat="1" x14ac:dyDescent="0.2">
      <c r="C216" s="98"/>
    </row>
    <row r="217" spans="1:7" s="8" customFormat="1" x14ac:dyDescent="0.2">
      <c r="C217" s="98"/>
      <c r="E217" s="66">
        <f>NPV(E215,E206:E213)</f>
        <v>104.82987870934359</v>
      </c>
      <c r="G217" s="8" t="s">
        <v>1809</v>
      </c>
    </row>
    <row r="218" spans="1:7" s="8" customFormat="1" ht="17" thickBot="1" x14ac:dyDescent="0.25">
      <c r="C218" s="98"/>
    </row>
    <row r="219" spans="1:7" s="8" customFormat="1" ht="17" thickBot="1" x14ac:dyDescent="0.25">
      <c r="A219" s="336" t="s">
        <v>2372</v>
      </c>
      <c r="B219" s="101"/>
      <c r="C219" s="351"/>
    </row>
    <row r="220" spans="1:7" s="8" customFormat="1" x14ac:dyDescent="0.2">
      <c r="C220" s="98"/>
    </row>
    <row r="221" spans="1:7" s="8" customFormat="1" x14ac:dyDescent="0.2">
      <c r="A221" s="323" t="s">
        <v>12</v>
      </c>
      <c r="B221" s="323" t="s">
        <v>202</v>
      </c>
      <c r="C221" s="345" t="s">
        <v>203</v>
      </c>
      <c r="D221" s="323" t="s">
        <v>304</v>
      </c>
      <c r="E221" s="323" t="s">
        <v>2245</v>
      </c>
      <c r="F221" s="323"/>
      <c r="G221" s="323" t="s">
        <v>2241</v>
      </c>
    </row>
    <row r="222" spans="1:7" s="8" customFormat="1" x14ac:dyDescent="0.2">
      <c r="A222" s="79">
        <v>44927</v>
      </c>
      <c r="B222" s="62">
        <v>0</v>
      </c>
      <c r="C222" s="346"/>
      <c r="D222" s="106"/>
      <c r="E222" s="106"/>
      <c r="G222" s="8">
        <v>100</v>
      </c>
    </row>
    <row r="223" spans="1:7" s="8" customFormat="1" ht="17" thickBot="1" x14ac:dyDescent="0.25">
      <c r="A223" s="79">
        <v>45107</v>
      </c>
      <c r="B223" s="62">
        <v>1</v>
      </c>
      <c r="C223" s="353">
        <f>4%/2*G222</f>
        <v>2</v>
      </c>
      <c r="D223" s="353"/>
      <c r="E223" s="353">
        <f>C223+D223</f>
        <v>2</v>
      </c>
      <c r="G223" s="8">
        <f>G222-D223</f>
        <v>100</v>
      </c>
    </row>
    <row r="224" spans="1:7" s="8" customFormat="1" ht="17" thickBot="1" x14ac:dyDescent="0.25">
      <c r="A224" s="352">
        <v>45231</v>
      </c>
      <c r="B224" s="571" t="s">
        <v>2344</v>
      </c>
      <c r="C224" s="571"/>
      <c r="D224" s="571"/>
      <c r="E224" s="571"/>
      <c r="F224" s="571"/>
      <c r="G224" s="572"/>
    </row>
    <row r="225" spans="1:7" s="8" customFormat="1" x14ac:dyDescent="0.2">
      <c r="A225" s="79">
        <v>45291</v>
      </c>
      <c r="B225" s="62">
        <f>B223+1</f>
        <v>2</v>
      </c>
      <c r="C225" s="347">
        <f>4%/2*G223</f>
        <v>2</v>
      </c>
      <c r="D225" s="349">
        <f>100/4</f>
        <v>25</v>
      </c>
      <c r="E225" s="348">
        <f t="shared" ref="E225:E231" si="16">C225+D225</f>
        <v>27</v>
      </c>
      <c r="G225" s="8">
        <f>G223-D225</f>
        <v>75</v>
      </c>
    </row>
    <row r="226" spans="1:7" s="8" customFormat="1" x14ac:dyDescent="0.2">
      <c r="A226" s="79">
        <v>45473</v>
      </c>
      <c r="B226" s="62">
        <f t="shared" ref="B226:B231" si="17">B225+1</f>
        <v>3</v>
      </c>
      <c r="C226" s="347">
        <f t="shared" ref="C226:C231" si="18">4%/2*G225</f>
        <v>1.5</v>
      </c>
      <c r="D226" s="347"/>
      <c r="E226" s="348">
        <f t="shared" si="16"/>
        <v>1.5</v>
      </c>
      <c r="G226" s="8">
        <f t="shared" ref="G226:G231" si="19">G225-D226</f>
        <v>75</v>
      </c>
    </row>
    <row r="227" spans="1:7" s="8" customFormat="1" x14ac:dyDescent="0.2">
      <c r="A227" s="79">
        <v>45657</v>
      </c>
      <c r="B227" s="62">
        <f t="shared" si="17"/>
        <v>4</v>
      </c>
      <c r="C227" s="347">
        <f t="shared" si="18"/>
        <v>1.5</v>
      </c>
      <c r="D227" s="349">
        <f>100/4</f>
        <v>25</v>
      </c>
      <c r="E227" s="348">
        <f t="shared" si="16"/>
        <v>26.5</v>
      </c>
      <c r="G227" s="8">
        <f t="shared" si="19"/>
        <v>50</v>
      </c>
    </row>
    <row r="228" spans="1:7" s="8" customFormat="1" x14ac:dyDescent="0.2">
      <c r="A228" s="79">
        <v>45838</v>
      </c>
      <c r="B228" s="62">
        <f t="shared" si="17"/>
        <v>5</v>
      </c>
      <c r="C228" s="347">
        <f t="shared" si="18"/>
        <v>1</v>
      </c>
      <c r="D228" s="347"/>
      <c r="E228" s="348">
        <f t="shared" si="16"/>
        <v>1</v>
      </c>
      <c r="G228" s="8">
        <f t="shared" si="19"/>
        <v>50</v>
      </c>
    </row>
    <row r="229" spans="1:7" s="8" customFormat="1" x14ac:dyDescent="0.2">
      <c r="A229" s="79">
        <v>46022</v>
      </c>
      <c r="B229" s="62">
        <f t="shared" si="17"/>
        <v>6</v>
      </c>
      <c r="C229" s="347">
        <f t="shared" si="18"/>
        <v>1</v>
      </c>
      <c r="D229" s="349">
        <f>100/4</f>
        <v>25</v>
      </c>
      <c r="E229" s="348">
        <f t="shared" si="16"/>
        <v>26</v>
      </c>
      <c r="G229" s="8">
        <f t="shared" si="19"/>
        <v>25</v>
      </c>
    </row>
    <row r="230" spans="1:7" s="8" customFormat="1" x14ac:dyDescent="0.2">
      <c r="A230" s="79">
        <v>46203</v>
      </c>
      <c r="B230" s="62">
        <f t="shared" si="17"/>
        <v>7</v>
      </c>
      <c r="C230" s="347">
        <f t="shared" si="18"/>
        <v>0.5</v>
      </c>
      <c r="D230" s="347"/>
      <c r="E230" s="348">
        <f t="shared" si="16"/>
        <v>0.5</v>
      </c>
      <c r="G230" s="8">
        <f t="shared" si="19"/>
        <v>25</v>
      </c>
    </row>
    <row r="231" spans="1:7" s="8" customFormat="1" x14ac:dyDescent="0.2">
      <c r="A231" s="79">
        <v>46387</v>
      </c>
      <c r="B231" s="62">
        <f t="shared" si="17"/>
        <v>8</v>
      </c>
      <c r="C231" s="347">
        <f t="shared" si="18"/>
        <v>0.5</v>
      </c>
      <c r="D231" s="349">
        <f>100/4</f>
        <v>25</v>
      </c>
      <c r="E231" s="348">
        <f t="shared" si="16"/>
        <v>25.5</v>
      </c>
      <c r="G231" s="8">
        <f t="shared" si="19"/>
        <v>0</v>
      </c>
    </row>
    <row r="232" spans="1:7" s="8" customFormat="1" x14ac:dyDescent="0.2">
      <c r="C232" s="98"/>
    </row>
    <row r="233" spans="1:7" s="8" customFormat="1" x14ac:dyDescent="0.2">
      <c r="C233" s="98"/>
      <c r="E233" s="73">
        <f>NPV(1%,E225:E231)</f>
        <v>103.87817749643702</v>
      </c>
      <c r="G233" s="8" t="s">
        <v>2383</v>
      </c>
    </row>
    <row r="234" spans="1:7" s="8" customFormat="1" x14ac:dyDescent="0.2">
      <c r="C234" s="98"/>
      <c r="E234" s="98"/>
    </row>
    <row r="235" spans="1:7" s="8" customFormat="1" x14ac:dyDescent="0.2">
      <c r="C235" s="66">
        <f>E233*1.0201^(4/12)</f>
        <v>104.56954957783528</v>
      </c>
      <c r="E235" s="98" t="s">
        <v>2385</v>
      </c>
      <c r="G235" s="8" t="s">
        <v>2384</v>
      </c>
    </row>
    <row r="236" spans="1:7" s="8" customFormat="1" ht="17" thickBot="1" x14ac:dyDescent="0.25">
      <c r="C236" s="98"/>
      <c r="E236" s="98"/>
    </row>
    <row r="237" spans="1:7" s="8" customFormat="1" ht="17" thickBot="1" x14ac:dyDescent="0.25">
      <c r="A237" s="336" t="s">
        <v>2373</v>
      </c>
      <c r="B237" s="101"/>
      <c r="C237" s="337"/>
      <c r="D237" s="338"/>
      <c r="E237" s="98"/>
    </row>
    <row r="238" spans="1:7" s="8" customFormat="1" x14ac:dyDescent="0.2">
      <c r="C238" s="98"/>
      <c r="E238" s="98"/>
    </row>
    <row r="239" spans="1:7" s="8" customFormat="1" x14ac:dyDescent="0.2">
      <c r="A239" s="323" t="s">
        <v>12</v>
      </c>
      <c r="B239" s="323" t="s">
        <v>202</v>
      </c>
      <c r="C239" s="345" t="s">
        <v>203</v>
      </c>
      <c r="D239" s="323" t="s">
        <v>304</v>
      </c>
      <c r="E239" s="323" t="s">
        <v>2245</v>
      </c>
      <c r="F239" s="323"/>
      <c r="G239" s="323" t="s">
        <v>2241</v>
      </c>
    </row>
    <row r="240" spans="1:7" s="8" customFormat="1" x14ac:dyDescent="0.2">
      <c r="A240" s="79">
        <v>44927</v>
      </c>
      <c r="B240" s="62">
        <v>0</v>
      </c>
      <c r="C240" s="346"/>
      <c r="D240" s="106"/>
      <c r="E240" s="106"/>
      <c r="G240" s="8">
        <v>100</v>
      </c>
    </row>
    <row r="241" spans="1:8" s="8" customFormat="1" x14ac:dyDescent="0.2">
      <c r="A241" s="79">
        <v>45107</v>
      </c>
      <c r="B241" s="62">
        <v>1</v>
      </c>
      <c r="C241" s="353">
        <f>4%/2*G240</f>
        <v>2</v>
      </c>
      <c r="D241" s="353"/>
      <c r="E241" s="353">
        <f>C241+D241</f>
        <v>2</v>
      </c>
      <c r="G241" s="8">
        <f>G240-D241</f>
        <v>100</v>
      </c>
    </row>
    <row r="242" spans="1:8" s="8" customFormat="1" x14ac:dyDescent="0.2">
      <c r="A242" s="96">
        <v>45291</v>
      </c>
      <c r="B242" s="62">
        <f>B241+1</f>
        <v>2</v>
      </c>
      <c r="C242" s="353">
        <f t="shared" ref="C242:C248" si="20">4%/2*G241</f>
        <v>2</v>
      </c>
      <c r="D242" s="353">
        <f>100/4</f>
        <v>25</v>
      </c>
      <c r="E242" s="353">
        <f t="shared" ref="E242:E248" si="21">C242+D242</f>
        <v>27</v>
      </c>
      <c r="G242" s="8">
        <f t="shared" ref="G242:G248" si="22">G241-D242</f>
        <v>75</v>
      </c>
      <c r="H242" s="14" t="s">
        <v>2386</v>
      </c>
    </row>
    <row r="243" spans="1:8" s="8" customFormat="1" x14ac:dyDescent="0.2">
      <c r="A243" s="79">
        <v>45473</v>
      </c>
      <c r="B243" s="62">
        <f t="shared" ref="B243:B248" si="23">B242+1</f>
        <v>3</v>
      </c>
      <c r="C243" s="347">
        <f t="shared" si="20"/>
        <v>1.5</v>
      </c>
      <c r="D243" s="347"/>
      <c r="E243" s="348">
        <f t="shared" si="21"/>
        <v>1.5</v>
      </c>
      <c r="G243" s="8">
        <f t="shared" si="22"/>
        <v>75</v>
      </c>
    </row>
    <row r="244" spans="1:8" s="8" customFormat="1" x14ac:dyDescent="0.2">
      <c r="A244" s="79">
        <v>45657</v>
      </c>
      <c r="B244" s="62">
        <f t="shared" si="23"/>
        <v>4</v>
      </c>
      <c r="C244" s="347">
        <f t="shared" si="20"/>
        <v>1.5</v>
      </c>
      <c r="D244" s="349">
        <f>100/4</f>
        <v>25</v>
      </c>
      <c r="E244" s="348">
        <f t="shared" si="21"/>
        <v>26.5</v>
      </c>
      <c r="G244" s="8">
        <f t="shared" si="22"/>
        <v>50</v>
      </c>
    </row>
    <row r="245" spans="1:8" s="8" customFormat="1" x14ac:dyDescent="0.2">
      <c r="A245" s="79">
        <v>45838</v>
      </c>
      <c r="B245" s="62">
        <f t="shared" si="23"/>
        <v>5</v>
      </c>
      <c r="C245" s="347">
        <f t="shared" si="20"/>
        <v>1</v>
      </c>
      <c r="D245" s="347"/>
      <c r="E245" s="348">
        <f t="shared" si="21"/>
        <v>1</v>
      </c>
      <c r="G245" s="8">
        <f t="shared" si="22"/>
        <v>50</v>
      </c>
    </row>
    <row r="246" spans="1:8" s="8" customFormat="1" x14ac:dyDescent="0.2">
      <c r="A246" s="79">
        <v>46022</v>
      </c>
      <c r="B246" s="62">
        <f t="shared" si="23"/>
        <v>6</v>
      </c>
      <c r="C246" s="347">
        <f t="shared" si="20"/>
        <v>1</v>
      </c>
      <c r="D246" s="349">
        <f>100/4</f>
        <v>25</v>
      </c>
      <c r="E246" s="348">
        <f t="shared" si="21"/>
        <v>26</v>
      </c>
      <c r="G246" s="8">
        <f t="shared" si="22"/>
        <v>25</v>
      </c>
    </row>
    <row r="247" spans="1:8" s="8" customFormat="1" x14ac:dyDescent="0.2">
      <c r="A247" s="79">
        <v>46203</v>
      </c>
      <c r="B247" s="62">
        <f t="shared" si="23"/>
        <v>7</v>
      </c>
      <c r="C247" s="347">
        <f t="shared" si="20"/>
        <v>0.5</v>
      </c>
      <c r="D247" s="347"/>
      <c r="E247" s="348">
        <f t="shared" si="21"/>
        <v>0.5</v>
      </c>
      <c r="G247" s="8">
        <f t="shared" si="22"/>
        <v>25</v>
      </c>
    </row>
    <row r="248" spans="1:8" s="8" customFormat="1" x14ac:dyDescent="0.2">
      <c r="A248" s="79">
        <v>46387</v>
      </c>
      <c r="B248" s="62">
        <f t="shared" si="23"/>
        <v>8</v>
      </c>
      <c r="C248" s="347">
        <f t="shared" si="20"/>
        <v>0.5</v>
      </c>
      <c r="D248" s="349">
        <f>100/4</f>
        <v>25</v>
      </c>
      <c r="E248" s="348">
        <f t="shared" si="21"/>
        <v>25.5</v>
      </c>
      <c r="G248" s="8">
        <f t="shared" si="22"/>
        <v>0</v>
      </c>
    </row>
    <row r="249" spans="1:8" s="8" customFormat="1" x14ac:dyDescent="0.2">
      <c r="C249" s="98"/>
      <c r="E249" s="98"/>
    </row>
    <row r="250" spans="1:8" s="8" customFormat="1" x14ac:dyDescent="0.2">
      <c r="C250" s="98"/>
      <c r="E250" s="66">
        <f>NPV(1%,E243:E248)</f>
        <v>77.91695927140141</v>
      </c>
      <c r="G250" s="8" t="s">
        <v>2387</v>
      </c>
    </row>
    <row r="251" spans="1:8" s="8" customFormat="1" ht="17" thickBot="1" x14ac:dyDescent="0.25">
      <c r="C251" s="98"/>
      <c r="E251" s="98"/>
    </row>
    <row r="252" spans="1:8" s="8" customFormat="1" ht="17" thickBot="1" x14ac:dyDescent="0.25">
      <c r="A252" s="100" t="s">
        <v>2374</v>
      </c>
      <c r="B252" s="101"/>
      <c r="C252" s="337"/>
      <c r="D252" s="338"/>
      <c r="E252" s="98"/>
    </row>
    <row r="253" spans="1:8" s="8" customFormat="1" x14ac:dyDescent="0.2">
      <c r="C253" s="98"/>
      <c r="E253" s="98"/>
    </row>
    <row r="254" spans="1:8" s="8" customFormat="1" x14ac:dyDescent="0.2">
      <c r="A254" s="323" t="s">
        <v>12</v>
      </c>
      <c r="B254" s="323" t="s">
        <v>202</v>
      </c>
      <c r="C254" s="345" t="s">
        <v>203</v>
      </c>
      <c r="D254" s="323" t="s">
        <v>304</v>
      </c>
      <c r="E254" s="323" t="s">
        <v>2245</v>
      </c>
      <c r="F254" s="323"/>
      <c r="G254" s="323" t="s">
        <v>2241</v>
      </c>
    </row>
    <row r="255" spans="1:8" s="8" customFormat="1" x14ac:dyDescent="0.2">
      <c r="A255" s="79">
        <v>44927</v>
      </c>
      <c r="B255" s="62">
        <v>0</v>
      </c>
      <c r="C255" s="346"/>
      <c r="D255" s="106"/>
      <c r="E255" s="106"/>
      <c r="G255" s="8">
        <v>100</v>
      </c>
    </row>
    <row r="256" spans="1:8" s="8" customFormat="1" x14ac:dyDescent="0.2">
      <c r="A256" s="79">
        <v>45107</v>
      </c>
      <c r="B256" s="62">
        <v>1</v>
      </c>
      <c r="C256" s="353">
        <f>4%/2*G255</f>
        <v>2</v>
      </c>
      <c r="D256" s="353"/>
      <c r="E256" s="353">
        <f>C256+D256</f>
        <v>2</v>
      </c>
      <c r="G256" s="8">
        <f>G255-D256</f>
        <v>100</v>
      </c>
    </row>
    <row r="257" spans="1:8" s="8" customFormat="1" x14ac:dyDescent="0.2">
      <c r="A257" s="96">
        <v>45291</v>
      </c>
      <c r="B257" s="62">
        <f>B256+1</f>
        <v>2</v>
      </c>
      <c r="C257" s="353">
        <f t="shared" ref="C257:C263" si="24">4%/2*G256</f>
        <v>2</v>
      </c>
      <c r="D257" s="353">
        <f>100/4</f>
        <v>25</v>
      </c>
      <c r="E257" s="353">
        <f t="shared" ref="E257:E263" si="25">C257+D257</f>
        <v>27</v>
      </c>
      <c r="G257" s="8">
        <f t="shared" ref="G257:G263" si="26">G256-D257</f>
        <v>75</v>
      </c>
    </row>
    <row r="258" spans="1:8" s="8" customFormat="1" x14ac:dyDescent="0.2">
      <c r="A258" s="79">
        <v>45473</v>
      </c>
      <c r="B258" s="62">
        <f t="shared" ref="B258:B263" si="27">B257+1</f>
        <v>3</v>
      </c>
      <c r="C258" s="353">
        <f t="shared" si="24"/>
        <v>1.5</v>
      </c>
      <c r="D258" s="353"/>
      <c r="E258" s="353">
        <f t="shared" si="25"/>
        <v>1.5</v>
      </c>
      <c r="G258" s="8">
        <f t="shared" si="26"/>
        <v>75</v>
      </c>
    </row>
    <row r="259" spans="1:8" s="8" customFormat="1" x14ac:dyDescent="0.2">
      <c r="A259" s="79">
        <v>45657</v>
      </c>
      <c r="B259" s="62">
        <f t="shared" si="27"/>
        <v>4</v>
      </c>
      <c r="C259" s="353">
        <f t="shared" si="24"/>
        <v>1.5</v>
      </c>
      <c r="D259" s="353">
        <f>100/4</f>
        <v>25</v>
      </c>
      <c r="E259" s="353">
        <f t="shared" si="25"/>
        <v>26.5</v>
      </c>
      <c r="G259" s="8">
        <f t="shared" si="26"/>
        <v>50</v>
      </c>
    </row>
    <row r="260" spans="1:8" s="8" customFormat="1" x14ac:dyDescent="0.2">
      <c r="A260" s="79">
        <v>45838</v>
      </c>
      <c r="B260" s="62">
        <f t="shared" si="27"/>
        <v>5</v>
      </c>
      <c r="C260" s="347">
        <f t="shared" si="24"/>
        <v>1</v>
      </c>
      <c r="D260" s="347"/>
      <c r="E260" s="348">
        <f t="shared" si="25"/>
        <v>1</v>
      </c>
      <c r="G260" s="8">
        <f t="shared" si="26"/>
        <v>50</v>
      </c>
      <c r="H260" s="14" t="s">
        <v>2388</v>
      </c>
    </row>
    <row r="261" spans="1:8" s="8" customFormat="1" x14ac:dyDescent="0.2">
      <c r="A261" s="79">
        <v>46022</v>
      </c>
      <c r="B261" s="62">
        <f t="shared" si="27"/>
        <v>6</v>
      </c>
      <c r="C261" s="347">
        <f t="shared" si="24"/>
        <v>1</v>
      </c>
      <c r="D261" s="349">
        <f>100/4</f>
        <v>25</v>
      </c>
      <c r="E261" s="348">
        <f t="shared" si="25"/>
        <v>26</v>
      </c>
      <c r="G261" s="8">
        <f t="shared" si="26"/>
        <v>25</v>
      </c>
    </row>
    <row r="262" spans="1:8" s="8" customFormat="1" x14ac:dyDescent="0.2">
      <c r="A262" s="79">
        <v>46203</v>
      </c>
      <c r="B262" s="62">
        <f t="shared" si="27"/>
        <v>7</v>
      </c>
      <c r="C262" s="347">
        <f t="shared" si="24"/>
        <v>0.5</v>
      </c>
      <c r="D262" s="347"/>
      <c r="E262" s="348">
        <f t="shared" si="25"/>
        <v>0.5</v>
      </c>
      <c r="G262" s="8">
        <f t="shared" si="26"/>
        <v>25</v>
      </c>
    </row>
    <row r="263" spans="1:8" s="8" customFormat="1" x14ac:dyDescent="0.2">
      <c r="A263" s="79">
        <v>46387</v>
      </c>
      <c r="B263" s="62">
        <f t="shared" si="27"/>
        <v>8</v>
      </c>
      <c r="C263" s="347">
        <f t="shared" si="24"/>
        <v>0.5</v>
      </c>
      <c r="D263" s="349">
        <f>100/4</f>
        <v>25</v>
      </c>
      <c r="E263" s="348">
        <f t="shared" si="25"/>
        <v>25.5</v>
      </c>
      <c r="G263" s="8">
        <f t="shared" si="26"/>
        <v>0</v>
      </c>
    </row>
    <row r="264" spans="1:8" s="8" customFormat="1" x14ac:dyDescent="0.2">
      <c r="C264" s="98"/>
      <c r="E264" s="98"/>
    </row>
    <row r="265" spans="1:8" s="8" customFormat="1" x14ac:dyDescent="0.2">
      <c r="C265" s="98"/>
      <c r="E265" s="73">
        <f>NPV(1%,E260:E263)</f>
        <v>51.468090152756574</v>
      </c>
      <c r="G265" s="8" t="s">
        <v>2389</v>
      </c>
    </row>
    <row r="266" spans="1:8" s="8" customFormat="1" x14ac:dyDescent="0.2">
      <c r="C266" s="98"/>
      <c r="E266" s="98"/>
    </row>
    <row r="267" spans="1:8" s="8" customFormat="1" x14ac:dyDescent="0.2">
      <c r="C267" s="98"/>
      <c r="D267" s="354">
        <f>E265*1.0201^0.5</f>
        <v>51.982771054284143</v>
      </c>
      <c r="E267" s="98"/>
      <c r="G267" s="8" t="s">
        <v>2390</v>
      </c>
    </row>
    <row r="268" spans="1:8" s="8" customFormat="1" x14ac:dyDescent="0.2">
      <c r="C268" s="98"/>
      <c r="E268" s="98"/>
    </row>
    <row r="269" spans="1:8" s="8" customFormat="1" x14ac:dyDescent="0.2">
      <c r="A269" s="14" t="s">
        <v>2391</v>
      </c>
      <c r="C269" s="98"/>
      <c r="E269" s="98"/>
    </row>
    <row r="270" spans="1:8" s="8" customFormat="1" x14ac:dyDescent="0.2">
      <c r="C270" s="98"/>
      <c r="E270" s="98"/>
    </row>
    <row r="271" spans="1:8" s="8" customFormat="1" x14ac:dyDescent="0.2">
      <c r="C271" s="98"/>
      <c r="E271" s="98"/>
    </row>
    <row r="272" spans="1:8" s="8" customFormat="1" x14ac:dyDescent="0.2">
      <c r="C272" s="98"/>
      <c r="E272" s="98"/>
    </row>
    <row r="273" spans="1:10" s="8" customFormat="1" x14ac:dyDescent="0.2">
      <c r="C273" s="98"/>
      <c r="E273" s="98"/>
    </row>
    <row r="274" spans="1:10" s="8" customFormat="1" x14ac:dyDescent="0.2">
      <c r="C274" s="98"/>
      <c r="E274" s="98"/>
    </row>
    <row r="275" spans="1:10" s="8" customFormat="1" x14ac:dyDescent="0.2">
      <c r="C275" s="98"/>
      <c r="E275" s="98"/>
    </row>
    <row r="276" spans="1:10" s="8" customFormat="1" x14ac:dyDescent="0.2">
      <c r="C276" s="98"/>
      <c r="E276" s="98"/>
    </row>
    <row r="277" spans="1:10" s="8" customFormat="1" x14ac:dyDescent="0.2">
      <c r="C277" s="98"/>
      <c r="E277" s="98"/>
    </row>
    <row r="278" spans="1:10" s="8" customFormat="1" ht="23" x14ac:dyDescent="0.25">
      <c r="A278" s="478" t="s">
        <v>3264</v>
      </c>
      <c r="C278" s="98"/>
      <c r="E278" s="98"/>
    </row>
    <row r="279" spans="1:10" s="8" customFormat="1" x14ac:dyDescent="0.2">
      <c r="C279" s="98"/>
      <c r="E279" s="98"/>
      <c r="J279" s="14" t="s">
        <v>2392</v>
      </c>
    </row>
    <row r="280" spans="1:10" s="8" customFormat="1" x14ac:dyDescent="0.2">
      <c r="C280" s="98"/>
      <c r="E280" s="98"/>
    </row>
    <row r="281" spans="1:10" s="8" customFormat="1" ht="23" x14ac:dyDescent="0.25">
      <c r="A281" s="479" t="s">
        <v>3265</v>
      </c>
      <c r="B281" s="479"/>
      <c r="C281" s="480"/>
      <c r="D281" s="479"/>
      <c r="E281" s="480"/>
      <c r="F281" s="479"/>
      <c r="G281" s="479"/>
      <c r="H281" s="479"/>
    </row>
    <row r="282" spans="1:10" s="8" customFormat="1" x14ac:dyDescent="0.2">
      <c r="C282" s="98"/>
      <c r="E282" s="98"/>
    </row>
    <row r="283" spans="1:10" s="8" customFormat="1" x14ac:dyDescent="0.2">
      <c r="A283" s="8" t="s">
        <v>3269</v>
      </c>
      <c r="C283" s="98"/>
      <c r="E283" s="98"/>
    </row>
    <row r="284" spans="1:10" s="8" customFormat="1" x14ac:dyDescent="0.2">
      <c r="A284" s="8" t="s">
        <v>3270</v>
      </c>
      <c r="C284" s="98"/>
      <c r="E284" s="98"/>
    </row>
    <row r="285" spans="1:10" s="8" customFormat="1" x14ac:dyDescent="0.2">
      <c r="A285" s="8" t="s">
        <v>3271</v>
      </c>
      <c r="C285" s="98"/>
      <c r="E285" s="98"/>
    </row>
    <row r="286" spans="1:10" s="8" customFormat="1" x14ac:dyDescent="0.2">
      <c r="A286" s="8" t="s">
        <v>3272</v>
      </c>
      <c r="C286" s="98"/>
      <c r="E286" s="98"/>
    </row>
    <row r="287" spans="1:10" s="8" customFormat="1" x14ac:dyDescent="0.2">
      <c r="A287" s="8" t="s">
        <v>3273</v>
      </c>
      <c r="C287" s="98"/>
      <c r="E287" s="98"/>
    </row>
    <row r="288" spans="1:10" s="8" customFormat="1" x14ac:dyDescent="0.2">
      <c r="A288" s="8" t="s">
        <v>3274</v>
      </c>
      <c r="C288" s="98"/>
      <c r="E288" s="98"/>
    </row>
    <row r="289" spans="1:9" s="8" customFormat="1" x14ac:dyDescent="0.2">
      <c r="C289" s="98"/>
      <c r="E289" s="98"/>
    </row>
    <row r="290" spans="1:9" s="8" customFormat="1" x14ac:dyDescent="0.2">
      <c r="A290" s="14" t="s">
        <v>3275</v>
      </c>
      <c r="C290" s="98"/>
      <c r="E290" s="98"/>
    </row>
    <row r="291" spans="1:9" s="8" customFormat="1" x14ac:dyDescent="0.2">
      <c r="C291" s="98"/>
      <c r="E291" s="98"/>
    </row>
    <row r="292" spans="1:9" s="1" customFormat="1" x14ac:dyDescent="0.2">
      <c r="A292" s="81" t="s">
        <v>3266</v>
      </c>
      <c r="B292" s="38"/>
      <c r="C292" s="38"/>
      <c r="D292" s="38"/>
      <c r="E292" s="38"/>
      <c r="F292" s="38"/>
      <c r="G292" s="45"/>
      <c r="H292" s="38"/>
    </row>
    <row r="293" spans="1:9" s="1" customFormat="1" x14ac:dyDescent="0.2">
      <c r="A293" s="1" t="s">
        <v>3268</v>
      </c>
    </row>
    <row r="294" spans="1:9" s="1" customFormat="1" x14ac:dyDescent="0.2">
      <c r="A294" s="1" t="s">
        <v>231</v>
      </c>
    </row>
    <row r="295" spans="1:9" s="1" customFormat="1" x14ac:dyDescent="0.2">
      <c r="A295" s="1" t="s">
        <v>232</v>
      </c>
    </row>
    <row r="296" spans="1:9" s="1" customFormat="1" x14ac:dyDescent="0.2">
      <c r="A296" s="1" t="s">
        <v>233</v>
      </c>
    </row>
    <row r="297" spans="1:9" s="1" customFormat="1" x14ac:dyDescent="0.2">
      <c r="A297" s="1" t="s">
        <v>234</v>
      </c>
    </row>
    <row r="298" spans="1:9" s="1" customFormat="1" x14ac:dyDescent="0.2">
      <c r="A298" s="1" t="s">
        <v>235</v>
      </c>
    </row>
    <row r="299" spans="1:9" s="1" customFormat="1" x14ac:dyDescent="0.2"/>
    <row r="300" spans="1:9" s="1" customFormat="1" x14ac:dyDescent="0.2">
      <c r="A300" s="1" t="s">
        <v>2369</v>
      </c>
    </row>
    <row r="301" spans="1:9" s="1" customFormat="1" x14ac:dyDescent="0.2">
      <c r="A301" s="1" t="s">
        <v>2449</v>
      </c>
    </row>
    <row r="302" spans="1:9" s="1" customFormat="1" x14ac:dyDescent="0.2">
      <c r="A302" s="1" t="s">
        <v>2450</v>
      </c>
    </row>
    <row r="303" spans="1:9" s="1" customFormat="1" x14ac:dyDescent="0.2">
      <c r="C303" s="37" t="s">
        <v>114</v>
      </c>
      <c r="D303" s="37" t="s">
        <v>115</v>
      </c>
      <c r="E303" s="37" t="s">
        <v>116</v>
      </c>
    </row>
    <row r="304" spans="1:9" s="1" customFormat="1" x14ac:dyDescent="0.2">
      <c r="A304" s="1" t="s">
        <v>2454</v>
      </c>
      <c r="C304" s="62">
        <v>-110</v>
      </c>
      <c r="D304" s="62">
        <v>-90</v>
      </c>
      <c r="E304" s="62">
        <v>-100</v>
      </c>
      <c r="F304" s="8" t="s">
        <v>2451</v>
      </c>
      <c r="G304" s="8"/>
      <c r="H304" s="8"/>
      <c r="I304" s="24">
        <v>44197</v>
      </c>
    </row>
    <row r="305" spans="1:9" s="1" customFormat="1" x14ac:dyDescent="0.2">
      <c r="A305" s="1" t="s">
        <v>2455</v>
      </c>
      <c r="C305" s="62">
        <f>5%*100</f>
        <v>5</v>
      </c>
      <c r="D305" s="62">
        <f>5%*100</f>
        <v>5</v>
      </c>
      <c r="E305" s="62">
        <f>5%*100</f>
        <v>5</v>
      </c>
      <c r="F305" s="576" t="s">
        <v>3276</v>
      </c>
      <c r="G305" s="577"/>
      <c r="H305" s="577"/>
      <c r="I305" s="24">
        <v>44561</v>
      </c>
    </row>
    <row r="306" spans="1:9" s="1" customFormat="1" x14ac:dyDescent="0.2">
      <c r="A306" s="1" t="s">
        <v>2456</v>
      </c>
      <c r="C306" s="62">
        <f t="shared" ref="C306:D309" si="28">C305</f>
        <v>5</v>
      </c>
      <c r="D306" s="62">
        <f t="shared" si="28"/>
        <v>5</v>
      </c>
      <c r="E306" s="62">
        <f>E305</f>
        <v>5</v>
      </c>
      <c r="F306" s="577"/>
      <c r="G306" s="577"/>
      <c r="H306" s="577"/>
      <c r="I306" s="24">
        <v>44926</v>
      </c>
    </row>
    <row r="307" spans="1:9" s="1" customFormat="1" x14ac:dyDescent="0.2">
      <c r="A307" s="1" t="s">
        <v>2458</v>
      </c>
      <c r="C307" s="62">
        <f t="shared" si="28"/>
        <v>5</v>
      </c>
      <c r="D307" s="62">
        <f t="shared" si="28"/>
        <v>5</v>
      </c>
      <c r="E307" s="62">
        <f>E306</f>
        <v>5</v>
      </c>
      <c r="F307" s="577"/>
      <c r="G307" s="577"/>
      <c r="H307" s="577"/>
      <c r="I307" s="24">
        <v>45291</v>
      </c>
    </row>
    <row r="308" spans="1:9" s="1" customFormat="1" x14ac:dyDescent="0.2">
      <c r="A308" s="1" t="s">
        <v>2457</v>
      </c>
      <c r="C308" s="62">
        <f t="shared" si="28"/>
        <v>5</v>
      </c>
      <c r="D308" s="62">
        <f t="shared" si="28"/>
        <v>5</v>
      </c>
      <c r="E308" s="62">
        <f>E307</f>
        <v>5</v>
      </c>
      <c r="F308" s="577"/>
      <c r="G308" s="577"/>
      <c r="H308" s="577"/>
      <c r="I308" s="24">
        <v>45657</v>
      </c>
    </row>
    <row r="309" spans="1:9" s="1" customFormat="1" x14ac:dyDescent="0.2">
      <c r="C309" s="62">
        <f t="shared" si="28"/>
        <v>5</v>
      </c>
      <c r="D309" s="62">
        <f t="shared" si="28"/>
        <v>5</v>
      </c>
      <c r="E309" s="62">
        <f>E308</f>
        <v>5</v>
      </c>
      <c r="F309" s="577"/>
      <c r="G309" s="577"/>
      <c r="H309" s="577"/>
      <c r="I309" s="24">
        <v>46022</v>
      </c>
    </row>
    <row r="310" spans="1:9" s="1" customFormat="1" x14ac:dyDescent="0.2">
      <c r="C310" s="62">
        <f>100+C309</f>
        <v>105</v>
      </c>
      <c r="D310" s="62">
        <f>100+D309</f>
        <v>105</v>
      </c>
      <c r="E310" s="62">
        <f>100+E309</f>
        <v>105</v>
      </c>
      <c r="F310" s="8" t="s">
        <v>2464</v>
      </c>
      <c r="G310" s="8"/>
      <c r="I310" s="24">
        <v>46022</v>
      </c>
    </row>
    <row r="311" spans="1:9" s="1" customFormat="1" x14ac:dyDescent="0.2">
      <c r="C311" s="37"/>
      <c r="D311" s="37"/>
      <c r="E311" s="37"/>
    </row>
    <row r="312" spans="1:9" s="1" customFormat="1" x14ac:dyDescent="0.2">
      <c r="A312" s="1" t="s">
        <v>2453</v>
      </c>
      <c r="E312" s="8"/>
      <c r="F312" s="8"/>
      <c r="G312" s="8"/>
    </row>
    <row r="313" spans="1:9" s="1" customFormat="1" x14ac:dyDescent="0.2">
      <c r="A313" s="1" t="s">
        <v>2459</v>
      </c>
      <c r="C313" s="481">
        <f>IRR(C304:C310)</f>
        <v>3.1451354156679878E-2</v>
      </c>
      <c r="D313" s="481">
        <f>IRR(D304:D310)</f>
        <v>7.1047468153273341E-2</v>
      </c>
      <c r="E313" s="65">
        <f>IRR(E304:E310)</f>
        <v>5.0000000000245404E-2</v>
      </c>
      <c r="F313" s="8"/>
      <c r="G313" s="8"/>
    </row>
    <row r="314" spans="1:9" s="1" customFormat="1" x14ac:dyDescent="0.2"/>
    <row r="315" spans="1:9" s="1" customFormat="1" x14ac:dyDescent="0.2">
      <c r="A315" s="1" t="s">
        <v>3277</v>
      </c>
    </row>
    <row r="316" spans="1:9" s="1" customFormat="1" x14ac:dyDescent="0.2"/>
    <row r="317" spans="1:9" s="1" customFormat="1" x14ac:dyDescent="0.2">
      <c r="C317" s="39" t="s">
        <v>114</v>
      </c>
      <c r="D317" s="39" t="s">
        <v>115</v>
      </c>
      <c r="E317" s="39" t="s">
        <v>116</v>
      </c>
    </row>
    <row r="318" spans="1:9" s="1" customFormat="1" x14ac:dyDescent="0.2">
      <c r="A318" s="7" t="s">
        <v>55</v>
      </c>
      <c r="B318" s="7"/>
      <c r="C318" s="374">
        <f>RATE(C319,C321,C320,C322)</f>
        <v>3.1451354156680107E-2</v>
      </c>
      <c r="D318" s="374">
        <f>RATE(D319,D321,D320,D322)</f>
        <v>7.1047468153273549E-2</v>
      </c>
      <c r="E318" s="70">
        <f>RATE(E319,E321,E320,E322)</f>
        <v>5.0000000000412097E-2</v>
      </c>
      <c r="F318" s="8" t="s">
        <v>117</v>
      </c>
      <c r="G318" s="1" t="s">
        <v>2460</v>
      </c>
    </row>
    <row r="319" spans="1:9" s="1" customFormat="1" x14ac:dyDescent="0.2">
      <c r="A319" s="7" t="s">
        <v>118</v>
      </c>
      <c r="B319" s="7"/>
      <c r="C319" s="62">
        <f>D319</f>
        <v>6</v>
      </c>
      <c r="D319" s="62">
        <f>E319</f>
        <v>6</v>
      </c>
      <c r="E319" s="62">
        <v>6</v>
      </c>
      <c r="F319" s="8" t="s">
        <v>119</v>
      </c>
      <c r="G319" s="1" t="s">
        <v>2461</v>
      </c>
    </row>
    <row r="320" spans="1:9" s="1" customFormat="1" x14ac:dyDescent="0.2">
      <c r="A320" s="7" t="s">
        <v>236</v>
      </c>
      <c r="B320" s="7"/>
      <c r="C320" s="62">
        <f>C304</f>
        <v>-110</v>
      </c>
      <c r="D320" s="62">
        <f>D304</f>
        <v>-90</v>
      </c>
      <c r="E320" s="62">
        <f>E304</f>
        <v>-100</v>
      </c>
      <c r="F320" s="8" t="s">
        <v>121</v>
      </c>
      <c r="G320" s="1" t="s">
        <v>2462</v>
      </c>
    </row>
    <row r="321" spans="1:8" s="1" customFormat="1" x14ac:dyDescent="0.2">
      <c r="A321" s="7" t="s">
        <v>122</v>
      </c>
      <c r="B321" s="7"/>
      <c r="C321" s="62">
        <v>5</v>
      </c>
      <c r="D321" s="62">
        <v>5</v>
      </c>
      <c r="E321" s="62">
        <v>5</v>
      </c>
      <c r="F321" s="8" t="s">
        <v>123</v>
      </c>
      <c r="G321" s="1" t="s">
        <v>2463</v>
      </c>
    </row>
    <row r="322" spans="1:8" s="1" customFormat="1" x14ac:dyDescent="0.2">
      <c r="A322" s="7" t="s">
        <v>124</v>
      </c>
      <c r="B322" s="7"/>
      <c r="C322" s="62">
        <v>100</v>
      </c>
      <c r="D322" s="62">
        <v>100</v>
      </c>
      <c r="E322" s="62">
        <v>100</v>
      </c>
      <c r="F322" s="8" t="s">
        <v>125</v>
      </c>
      <c r="G322" s="1" t="s">
        <v>124</v>
      </c>
    </row>
    <row r="323" spans="1:8" s="8" customFormat="1" x14ac:dyDescent="0.2"/>
    <row r="324" spans="1:8" s="8" customFormat="1" x14ac:dyDescent="0.2">
      <c r="A324" s="8" t="s">
        <v>3278</v>
      </c>
    </row>
    <row r="325" spans="1:8" s="8" customFormat="1" x14ac:dyDescent="0.2">
      <c r="A325" s="8" t="s">
        <v>237</v>
      </c>
    </row>
    <row r="326" spans="1:8" s="8" customFormat="1" x14ac:dyDescent="0.2"/>
    <row r="327" spans="1:8" s="8" customFormat="1" x14ac:dyDescent="0.2">
      <c r="A327" s="8" t="s">
        <v>238</v>
      </c>
    </row>
    <row r="328" spans="1:8" s="8" customFormat="1" ht="17" thickBot="1" x14ac:dyDescent="0.25"/>
    <row r="329" spans="1:8" s="8" customFormat="1" x14ac:dyDescent="0.2">
      <c r="A329" s="102" t="s">
        <v>2441</v>
      </c>
      <c r="B329" s="29"/>
      <c r="C329" s="29"/>
      <c r="D329" s="29"/>
      <c r="E329" s="29"/>
      <c r="F329" s="29"/>
      <c r="G329" s="29"/>
      <c r="H329" s="30"/>
    </row>
    <row r="330" spans="1:8" s="8" customFormat="1" x14ac:dyDescent="0.2">
      <c r="A330" s="103" t="s">
        <v>2442</v>
      </c>
      <c r="H330" s="32"/>
    </row>
    <row r="331" spans="1:8" s="8" customFormat="1" x14ac:dyDescent="0.2">
      <c r="A331" s="103"/>
      <c r="H331" s="32"/>
    </row>
    <row r="332" spans="1:8" s="8" customFormat="1" x14ac:dyDescent="0.2">
      <c r="A332" s="31"/>
      <c r="C332" s="62" t="s">
        <v>145</v>
      </c>
      <c r="D332" s="62" t="s">
        <v>117</v>
      </c>
      <c r="F332" s="62" t="s">
        <v>304</v>
      </c>
      <c r="G332" s="62" t="s">
        <v>2465</v>
      </c>
      <c r="H332" s="32"/>
    </row>
    <row r="333" spans="1:8" s="8" customFormat="1" x14ac:dyDescent="0.2">
      <c r="A333" s="31"/>
      <c r="B333" s="8" t="s">
        <v>116</v>
      </c>
      <c r="C333" s="376">
        <v>0.05</v>
      </c>
      <c r="D333" s="376">
        <f>E318</f>
        <v>5.0000000000412097E-2</v>
      </c>
      <c r="F333" s="377">
        <v>100</v>
      </c>
      <c r="G333" s="377">
        <f>-E320</f>
        <v>100</v>
      </c>
      <c r="H333" s="32"/>
    </row>
    <row r="334" spans="1:8" s="8" customFormat="1" x14ac:dyDescent="0.2">
      <c r="A334" s="31"/>
      <c r="B334" s="8" t="s">
        <v>115</v>
      </c>
      <c r="C334" s="378">
        <f>C333</f>
        <v>0.05</v>
      </c>
      <c r="D334" s="379">
        <f>D318</f>
        <v>7.1047468153273549E-2</v>
      </c>
      <c r="F334" s="380">
        <f>F333</f>
        <v>100</v>
      </c>
      <c r="G334" s="380">
        <f>-D320</f>
        <v>90</v>
      </c>
      <c r="H334" s="32"/>
    </row>
    <row r="335" spans="1:8" s="8" customFormat="1" x14ac:dyDescent="0.2">
      <c r="A335" s="31"/>
      <c r="B335" s="8" t="s">
        <v>114</v>
      </c>
      <c r="C335" s="381">
        <f>C334</f>
        <v>0.05</v>
      </c>
      <c r="D335" s="382">
        <f>C318</f>
        <v>3.1451354156680107E-2</v>
      </c>
      <c r="F335" s="383">
        <f>F334</f>
        <v>100</v>
      </c>
      <c r="G335" s="383">
        <f>-C320</f>
        <v>110</v>
      </c>
      <c r="H335" s="32"/>
    </row>
    <row r="336" spans="1:8" s="8" customFormat="1" x14ac:dyDescent="0.2">
      <c r="A336" s="31"/>
      <c r="H336" s="32"/>
    </row>
    <row r="337" spans="1:8" s="8" customFormat="1" x14ac:dyDescent="0.2">
      <c r="A337" s="31" t="s">
        <v>79</v>
      </c>
      <c r="B337" s="8" t="s">
        <v>2466</v>
      </c>
      <c r="H337" s="375" t="s">
        <v>2440</v>
      </c>
    </row>
    <row r="338" spans="1:8" s="8" customFormat="1" x14ac:dyDescent="0.2">
      <c r="A338" s="31"/>
      <c r="B338" s="8" t="s">
        <v>2467</v>
      </c>
      <c r="H338" s="375" t="s">
        <v>2439</v>
      </c>
    </row>
    <row r="339" spans="1:8" s="8" customFormat="1" ht="17" thickBot="1" x14ac:dyDescent="0.25">
      <c r="A339" s="33"/>
      <c r="B339" s="34" t="s">
        <v>2468</v>
      </c>
      <c r="C339" s="34"/>
      <c r="D339" s="34"/>
      <c r="E339" s="34"/>
      <c r="F339" s="34"/>
      <c r="G339" s="34"/>
      <c r="H339" s="384" t="s">
        <v>2438</v>
      </c>
    </row>
    <row r="340" spans="1:8" s="8" customFormat="1" x14ac:dyDescent="0.2"/>
    <row r="341" spans="1:8" s="1" customFormat="1" x14ac:dyDescent="0.2">
      <c r="A341" s="38" t="s">
        <v>3279</v>
      </c>
      <c r="B341" s="38"/>
      <c r="C341" s="38"/>
      <c r="D341" s="38"/>
      <c r="E341" s="38"/>
      <c r="F341" s="38"/>
      <c r="G341" s="45"/>
      <c r="H341" s="38"/>
    </row>
    <row r="342" spans="1:8" s="1" customFormat="1" x14ac:dyDescent="0.2">
      <c r="A342" s="1" t="s">
        <v>239</v>
      </c>
    </row>
    <row r="343" spans="1:8" s="1" customFormat="1" x14ac:dyDescent="0.2">
      <c r="A343" s="1" t="s">
        <v>2475</v>
      </c>
    </row>
    <row r="344" spans="1:8" s="1" customFormat="1" x14ac:dyDescent="0.2">
      <c r="A344" s="1" t="s">
        <v>240</v>
      </c>
    </row>
    <row r="345" spans="1:8" s="1" customFormat="1" x14ac:dyDescent="0.2">
      <c r="A345" s="1" t="s">
        <v>241</v>
      </c>
    </row>
    <row r="346" spans="1:8" s="1" customFormat="1" x14ac:dyDescent="0.2">
      <c r="A346" s="1" t="s">
        <v>242</v>
      </c>
    </row>
    <row r="347" spans="1:8" s="1" customFormat="1" x14ac:dyDescent="0.2">
      <c r="A347" s="1" t="s">
        <v>243</v>
      </c>
    </row>
    <row r="348" spans="1:8" s="8" customFormat="1" x14ac:dyDescent="0.2"/>
    <row r="349" spans="1:8" s="8" customFormat="1" x14ac:dyDescent="0.2">
      <c r="A349" s="8" t="s">
        <v>2369</v>
      </c>
    </row>
    <row r="350" spans="1:8" s="8" customFormat="1" x14ac:dyDescent="0.2"/>
    <row r="351" spans="1:8" s="8" customFormat="1" x14ac:dyDescent="0.2">
      <c r="B351" s="8" t="s">
        <v>202</v>
      </c>
      <c r="C351" s="323" t="s">
        <v>12</v>
      </c>
      <c r="D351" s="108" t="s">
        <v>114</v>
      </c>
      <c r="E351" s="108" t="s">
        <v>115</v>
      </c>
      <c r="F351" s="108" t="s">
        <v>116</v>
      </c>
    </row>
    <row r="352" spans="1:8" s="8" customFormat="1" x14ac:dyDescent="0.2">
      <c r="B352" s="8">
        <v>0</v>
      </c>
      <c r="C352" s="79">
        <v>44197</v>
      </c>
      <c r="D352" s="62">
        <v>-110</v>
      </c>
      <c r="E352" s="62">
        <v>-90</v>
      </c>
      <c r="F352" s="62">
        <v>-100</v>
      </c>
      <c r="G352" s="7" t="s">
        <v>2470</v>
      </c>
    </row>
    <row r="353" spans="2:8" s="8" customFormat="1" x14ac:dyDescent="0.2">
      <c r="B353" s="8">
        <v>1</v>
      </c>
      <c r="C353" s="79">
        <v>44286</v>
      </c>
      <c r="D353" s="62">
        <f>E353</f>
        <v>0.75</v>
      </c>
      <c r="E353" s="62">
        <f>F353</f>
        <v>0.75</v>
      </c>
      <c r="F353" s="62">
        <f>3%/4*100</f>
        <v>0.75</v>
      </c>
      <c r="G353" s="7" t="s">
        <v>2473</v>
      </c>
      <c r="H353" s="8" t="s">
        <v>2474</v>
      </c>
    </row>
    <row r="354" spans="2:8" s="8" customFormat="1" x14ac:dyDescent="0.2">
      <c r="B354" s="8">
        <f>B353+1</f>
        <v>2</v>
      </c>
      <c r="C354" s="79">
        <v>44377</v>
      </c>
      <c r="D354" s="62">
        <f t="shared" ref="D354:E372" si="29">E354</f>
        <v>0.75</v>
      </c>
      <c r="E354" s="62">
        <f t="shared" si="29"/>
        <v>0.75</v>
      </c>
      <c r="F354" s="62">
        <f t="shared" ref="F354:F371" si="30">3%/4*100</f>
        <v>0.75</v>
      </c>
      <c r="G354" s="7" t="s">
        <v>203</v>
      </c>
    </row>
    <row r="355" spans="2:8" s="8" customFormat="1" x14ac:dyDescent="0.2">
      <c r="B355" s="8">
        <f t="shared" ref="B355:B372" si="31">B354+1</f>
        <v>3</v>
      </c>
      <c r="C355" s="79">
        <v>44469</v>
      </c>
      <c r="D355" s="62">
        <f t="shared" si="29"/>
        <v>0.75</v>
      </c>
      <c r="E355" s="62">
        <f t="shared" si="29"/>
        <v>0.75</v>
      </c>
      <c r="F355" s="62">
        <f t="shared" si="30"/>
        <v>0.75</v>
      </c>
      <c r="G355" s="7" t="s">
        <v>203</v>
      </c>
    </row>
    <row r="356" spans="2:8" s="8" customFormat="1" x14ac:dyDescent="0.2">
      <c r="B356" s="8">
        <f t="shared" si="31"/>
        <v>4</v>
      </c>
      <c r="C356" s="79">
        <v>44561</v>
      </c>
      <c r="D356" s="62">
        <f t="shared" si="29"/>
        <v>0.75</v>
      </c>
      <c r="E356" s="62">
        <f t="shared" si="29"/>
        <v>0.75</v>
      </c>
      <c r="F356" s="62">
        <f t="shared" si="30"/>
        <v>0.75</v>
      </c>
      <c r="G356" s="7" t="s">
        <v>203</v>
      </c>
    </row>
    <row r="357" spans="2:8" s="8" customFormat="1" x14ac:dyDescent="0.2">
      <c r="B357" s="8">
        <f t="shared" si="31"/>
        <v>5</v>
      </c>
      <c r="C357" s="79">
        <v>44651</v>
      </c>
      <c r="D357" s="62">
        <f t="shared" si="29"/>
        <v>0.75</v>
      </c>
      <c r="E357" s="62">
        <f t="shared" si="29"/>
        <v>0.75</v>
      </c>
      <c r="F357" s="62">
        <f t="shared" si="30"/>
        <v>0.75</v>
      </c>
      <c r="G357" s="7" t="s">
        <v>203</v>
      </c>
    </row>
    <row r="358" spans="2:8" s="8" customFormat="1" x14ac:dyDescent="0.2">
      <c r="B358" s="8">
        <f t="shared" si="31"/>
        <v>6</v>
      </c>
      <c r="C358" s="79">
        <v>44742</v>
      </c>
      <c r="D358" s="62">
        <f t="shared" si="29"/>
        <v>0.75</v>
      </c>
      <c r="E358" s="62">
        <f t="shared" si="29"/>
        <v>0.75</v>
      </c>
      <c r="F358" s="62">
        <f t="shared" si="30"/>
        <v>0.75</v>
      </c>
      <c r="G358" s="7" t="s">
        <v>203</v>
      </c>
    </row>
    <row r="359" spans="2:8" s="8" customFormat="1" x14ac:dyDescent="0.2">
      <c r="B359" s="8">
        <f t="shared" si="31"/>
        <v>7</v>
      </c>
      <c r="C359" s="79">
        <v>44834</v>
      </c>
      <c r="D359" s="62">
        <f t="shared" si="29"/>
        <v>0.75</v>
      </c>
      <c r="E359" s="62">
        <f t="shared" si="29"/>
        <v>0.75</v>
      </c>
      <c r="F359" s="62">
        <f t="shared" si="30"/>
        <v>0.75</v>
      </c>
      <c r="G359" s="7" t="s">
        <v>203</v>
      </c>
    </row>
    <row r="360" spans="2:8" s="8" customFormat="1" x14ac:dyDescent="0.2">
      <c r="B360" s="8">
        <f t="shared" si="31"/>
        <v>8</v>
      </c>
      <c r="C360" s="79">
        <v>44926</v>
      </c>
      <c r="D360" s="62">
        <f t="shared" si="29"/>
        <v>0.75</v>
      </c>
      <c r="E360" s="62">
        <f t="shared" si="29"/>
        <v>0.75</v>
      </c>
      <c r="F360" s="62">
        <f t="shared" si="30"/>
        <v>0.75</v>
      </c>
      <c r="G360" s="7" t="s">
        <v>203</v>
      </c>
    </row>
    <row r="361" spans="2:8" s="8" customFormat="1" x14ac:dyDescent="0.2">
      <c r="B361" s="8">
        <f t="shared" si="31"/>
        <v>9</v>
      </c>
      <c r="C361" s="79">
        <v>45016</v>
      </c>
      <c r="D361" s="62">
        <f t="shared" si="29"/>
        <v>0.75</v>
      </c>
      <c r="E361" s="62">
        <f t="shared" si="29"/>
        <v>0.75</v>
      </c>
      <c r="F361" s="62">
        <f t="shared" si="30"/>
        <v>0.75</v>
      </c>
      <c r="G361" s="7" t="s">
        <v>203</v>
      </c>
    </row>
    <row r="362" spans="2:8" s="8" customFormat="1" x14ac:dyDescent="0.2">
      <c r="B362" s="8">
        <f t="shared" si="31"/>
        <v>10</v>
      </c>
      <c r="C362" s="79">
        <v>45107</v>
      </c>
      <c r="D362" s="62">
        <f t="shared" si="29"/>
        <v>0.75</v>
      </c>
      <c r="E362" s="62">
        <f t="shared" si="29"/>
        <v>0.75</v>
      </c>
      <c r="F362" s="62">
        <f t="shared" si="30"/>
        <v>0.75</v>
      </c>
      <c r="G362" s="7" t="s">
        <v>203</v>
      </c>
    </row>
    <row r="363" spans="2:8" s="8" customFormat="1" x14ac:dyDescent="0.2">
      <c r="B363" s="8">
        <f t="shared" si="31"/>
        <v>11</v>
      </c>
      <c r="C363" s="79">
        <v>45199</v>
      </c>
      <c r="D363" s="62">
        <f t="shared" si="29"/>
        <v>0.75</v>
      </c>
      <c r="E363" s="62">
        <f t="shared" si="29"/>
        <v>0.75</v>
      </c>
      <c r="F363" s="62">
        <f t="shared" si="30"/>
        <v>0.75</v>
      </c>
      <c r="G363" s="7" t="s">
        <v>203</v>
      </c>
    </row>
    <row r="364" spans="2:8" s="8" customFormat="1" x14ac:dyDescent="0.2">
      <c r="B364" s="8">
        <f t="shared" si="31"/>
        <v>12</v>
      </c>
      <c r="C364" s="79">
        <v>45291</v>
      </c>
      <c r="D364" s="62">
        <f t="shared" si="29"/>
        <v>0.75</v>
      </c>
      <c r="E364" s="62">
        <f t="shared" si="29"/>
        <v>0.75</v>
      </c>
      <c r="F364" s="62">
        <f t="shared" si="30"/>
        <v>0.75</v>
      </c>
      <c r="G364" s="7" t="s">
        <v>203</v>
      </c>
    </row>
    <row r="365" spans="2:8" s="8" customFormat="1" x14ac:dyDescent="0.2">
      <c r="B365" s="8">
        <f t="shared" si="31"/>
        <v>13</v>
      </c>
      <c r="C365" s="79">
        <v>45382</v>
      </c>
      <c r="D365" s="62">
        <f t="shared" si="29"/>
        <v>0.75</v>
      </c>
      <c r="E365" s="62">
        <f t="shared" si="29"/>
        <v>0.75</v>
      </c>
      <c r="F365" s="62">
        <f t="shared" si="30"/>
        <v>0.75</v>
      </c>
      <c r="G365" s="7" t="s">
        <v>203</v>
      </c>
    </row>
    <row r="366" spans="2:8" s="8" customFormat="1" x14ac:dyDescent="0.2">
      <c r="B366" s="8">
        <f t="shared" si="31"/>
        <v>14</v>
      </c>
      <c r="C366" s="79">
        <v>45473</v>
      </c>
      <c r="D366" s="62">
        <f t="shared" si="29"/>
        <v>0.75</v>
      </c>
      <c r="E366" s="62">
        <f t="shared" si="29"/>
        <v>0.75</v>
      </c>
      <c r="F366" s="62">
        <f t="shared" si="30"/>
        <v>0.75</v>
      </c>
      <c r="G366" s="7" t="s">
        <v>203</v>
      </c>
    </row>
    <row r="367" spans="2:8" s="8" customFormat="1" x14ac:dyDescent="0.2">
      <c r="B367" s="8">
        <f t="shared" si="31"/>
        <v>15</v>
      </c>
      <c r="C367" s="79">
        <v>45565</v>
      </c>
      <c r="D367" s="62">
        <f t="shared" si="29"/>
        <v>0.75</v>
      </c>
      <c r="E367" s="62">
        <f t="shared" si="29"/>
        <v>0.75</v>
      </c>
      <c r="F367" s="62">
        <f t="shared" si="30"/>
        <v>0.75</v>
      </c>
      <c r="G367" s="7" t="s">
        <v>203</v>
      </c>
    </row>
    <row r="368" spans="2:8" s="8" customFormat="1" x14ac:dyDescent="0.2">
      <c r="B368" s="8">
        <f t="shared" si="31"/>
        <v>16</v>
      </c>
      <c r="C368" s="79">
        <v>45657</v>
      </c>
      <c r="D368" s="62">
        <f t="shared" si="29"/>
        <v>0.75</v>
      </c>
      <c r="E368" s="62">
        <f t="shared" si="29"/>
        <v>0.75</v>
      </c>
      <c r="F368" s="62">
        <f t="shared" si="30"/>
        <v>0.75</v>
      </c>
      <c r="G368" s="7" t="s">
        <v>203</v>
      </c>
    </row>
    <row r="369" spans="1:7" s="8" customFormat="1" x14ac:dyDescent="0.2">
      <c r="B369" s="8">
        <f t="shared" si="31"/>
        <v>17</v>
      </c>
      <c r="C369" s="79">
        <v>45747</v>
      </c>
      <c r="D369" s="62">
        <f t="shared" si="29"/>
        <v>0.75</v>
      </c>
      <c r="E369" s="62">
        <f t="shared" si="29"/>
        <v>0.75</v>
      </c>
      <c r="F369" s="62">
        <f t="shared" si="30"/>
        <v>0.75</v>
      </c>
      <c r="G369" s="7" t="s">
        <v>203</v>
      </c>
    </row>
    <row r="370" spans="1:7" s="8" customFormat="1" x14ac:dyDescent="0.2">
      <c r="B370" s="8">
        <f t="shared" si="31"/>
        <v>18</v>
      </c>
      <c r="C370" s="79">
        <v>45838</v>
      </c>
      <c r="D370" s="62">
        <f t="shared" si="29"/>
        <v>0.75</v>
      </c>
      <c r="E370" s="62">
        <f t="shared" si="29"/>
        <v>0.75</v>
      </c>
      <c r="F370" s="62">
        <f t="shared" si="30"/>
        <v>0.75</v>
      </c>
      <c r="G370" s="7" t="s">
        <v>203</v>
      </c>
    </row>
    <row r="371" spans="1:7" s="8" customFormat="1" x14ac:dyDescent="0.2">
      <c r="B371" s="8">
        <f t="shared" si="31"/>
        <v>19</v>
      </c>
      <c r="C371" s="79">
        <v>45930</v>
      </c>
      <c r="D371" s="62">
        <f t="shared" si="29"/>
        <v>0.75</v>
      </c>
      <c r="E371" s="62">
        <f t="shared" si="29"/>
        <v>0.75</v>
      </c>
      <c r="F371" s="62">
        <f t="shared" si="30"/>
        <v>0.75</v>
      </c>
      <c r="G371" s="7" t="s">
        <v>203</v>
      </c>
    </row>
    <row r="372" spans="1:7" s="8" customFormat="1" x14ac:dyDescent="0.2">
      <c r="A372" s="14" t="s">
        <v>2469</v>
      </c>
      <c r="B372" s="8">
        <f t="shared" si="31"/>
        <v>20</v>
      </c>
      <c r="C372" s="79">
        <v>46022</v>
      </c>
      <c r="D372" s="62">
        <f t="shared" si="29"/>
        <v>100.75</v>
      </c>
      <c r="E372" s="62">
        <f t="shared" si="29"/>
        <v>100.75</v>
      </c>
      <c r="F372" s="62">
        <v>100.75</v>
      </c>
      <c r="G372" s="7" t="s">
        <v>2471</v>
      </c>
    </row>
    <row r="373" spans="1:7" s="8" customFormat="1" x14ac:dyDescent="0.2">
      <c r="B373" s="8" t="s">
        <v>2472</v>
      </c>
      <c r="C373" s="7"/>
      <c r="D373" s="385">
        <f>IRR(D352:D372)</f>
        <v>2.3744074682627847E-3</v>
      </c>
      <c r="E373" s="385">
        <f>IRR(E352:E372)</f>
        <v>1.3223055313963172E-2</v>
      </c>
      <c r="F373" s="385">
        <f>IRR(F352:F372)</f>
        <v>7.5000000007972023E-3</v>
      </c>
      <c r="G373" s="7"/>
    </row>
    <row r="374" spans="1:7" s="8" customFormat="1" x14ac:dyDescent="0.2"/>
    <row r="375" spans="1:7" s="8" customFormat="1" x14ac:dyDescent="0.2">
      <c r="B375" s="8" t="s">
        <v>2476</v>
      </c>
    </row>
    <row r="376" spans="1:7" s="8" customFormat="1" x14ac:dyDescent="0.2">
      <c r="B376" s="8" t="s">
        <v>2477</v>
      </c>
    </row>
    <row r="377" spans="1:7" s="8" customFormat="1" x14ac:dyDescent="0.2"/>
    <row r="378" spans="1:7" s="8" customFormat="1" x14ac:dyDescent="0.2">
      <c r="B378" s="8" t="s">
        <v>2478</v>
      </c>
    </row>
    <row r="379" spans="1:7" s="8" customFormat="1" x14ac:dyDescent="0.2">
      <c r="A379" s="573" t="s">
        <v>287</v>
      </c>
      <c r="B379" s="8" t="s">
        <v>2479</v>
      </c>
      <c r="D379" s="108" t="s">
        <v>114</v>
      </c>
      <c r="E379" s="108" t="s">
        <v>115</v>
      </c>
      <c r="F379" s="108" t="s">
        <v>116</v>
      </c>
    </row>
    <row r="380" spans="1:7" s="8" customFormat="1" x14ac:dyDescent="0.2">
      <c r="A380" s="573"/>
      <c r="B380" s="8" t="s">
        <v>2480</v>
      </c>
      <c r="D380" s="386">
        <f>(1+D373)^4-1</f>
        <v>9.5315103156285996E-3</v>
      </c>
      <c r="E380" s="386">
        <f>(1+E373)^4-1</f>
        <v>5.3950595141250224E-2</v>
      </c>
      <c r="F380" s="386">
        <f>(1+F373)^4-1</f>
        <v>3.0339190667323379E-2</v>
      </c>
    </row>
    <row r="381" spans="1:7" s="8" customFormat="1" x14ac:dyDescent="0.2"/>
    <row r="382" spans="1:7" s="8" customFormat="1" x14ac:dyDescent="0.2">
      <c r="A382" s="14" t="s">
        <v>2483</v>
      </c>
    </row>
    <row r="383" spans="1:7" s="8" customFormat="1" x14ac:dyDescent="0.2"/>
    <row r="384" spans="1:7" s="8" customFormat="1" x14ac:dyDescent="0.2">
      <c r="D384" s="108" t="s">
        <v>114</v>
      </c>
      <c r="E384" s="108" t="s">
        <v>115</v>
      </c>
      <c r="F384" s="108" t="s">
        <v>116</v>
      </c>
    </row>
    <row r="385" spans="1:12" s="8" customFormat="1" x14ac:dyDescent="0.2">
      <c r="A385" s="8" t="s">
        <v>55</v>
      </c>
      <c r="D385" s="387">
        <f>RATE(D386,D388,D387,D389)</f>
        <v>2.374407470747142E-3</v>
      </c>
      <c r="E385" s="387">
        <f>RATE(E386,E388,E387,E389)</f>
        <v>1.3223055320987082E-2</v>
      </c>
      <c r="F385" s="387">
        <f>RATE(F386,F388,F387,F389)</f>
        <v>7.5000000003932824E-3</v>
      </c>
      <c r="G385" s="8" t="s">
        <v>117</v>
      </c>
    </row>
    <row r="386" spans="1:12" s="8" customFormat="1" x14ac:dyDescent="0.2">
      <c r="A386" s="8" t="s">
        <v>118</v>
      </c>
      <c r="D386" s="62">
        <f>5*4</f>
        <v>20</v>
      </c>
      <c r="E386" s="62">
        <f>5*4</f>
        <v>20</v>
      </c>
      <c r="F386" s="62">
        <f>5*4</f>
        <v>20</v>
      </c>
      <c r="G386" s="8" t="s">
        <v>119</v>
      </c>
    </row>
    <row r="387" spans="1:12" s="8" customFormat="1" x14ac:dyDescent="0.2">
      <c r="A387" s="8" t="s">
        <v>236</v>
      </c>
      <c r="D387" s="62">
        <v>-110</v>
      </c>
      <c r="E387" s="62">
        <v>-90</v>
      </c>
      <c r="F387" s="62">
        <v>-100</v>
      </c>
      <c r="G387" s="8" t="s">
        <v>121</v>
      </c>
    </row>
    <row r="388" spans="1:12" s="8" customFormat="1" x14ac:dyDescent="0.2">
      <c r="A388" s="8" t="s">
        <v>122</v>
      </c>
      <c r="D388" s="62">
        <f>3%/4*100</f>
        <v>0.75</v>
      </c>
      <c r="E388" s="62">
        <f>3%/4*100</f>
        <v>0.75</v>
      </c>
      <c r="F388" s="62">
        <f>3%/4*100</f>
        <v>0.75</v>
      </c>
      <c r="G388" s="8" t="s">
        <v>123</v>
      </c>
    </row>
    <row r="389" spans="1:12" s="8" customFormat="1" x14ac:dyDescent="0.2">
      <c r="A389" s="8" t="s">
        <v>124</v>
      </c>
      <c r="D389" s="62">
        <v>100</v>
      </c>
      <c r="E389" s="62">
        <v>100</v>
      </c>
      <c r="F389" s="62">
        <v>100</v>
      </c>
      <c r="G389" s="8" t="s">
        <v>125</v>
      </c>
    </row>
    <row r="390" spans="1:12" s="8" customFormat="1" x14ac:dyDescent="0.2">
      <c r="L390" s="98"/>
    </row>
    <row r="391" spans="1:12" s="8" customFormat="1" x14ac:dyDescent="0.2">
      <c r="A391" s="8" t="s">
        <v>244</v>
      </c>
    </row>
    <row r="392" spans="1:12" s="8" customFormat="1" x14ac:dyDescent="0.2">
      <c r="D392" s="108" t="s">
        <v>114</v>
      </c>
      <c r="E392" s="108" t="s">
        <v>115</v>
      </c>
      <c r="F392" s="108" t="s">
        <v>116</v>
      </c>
    </row>
    <row r="393" spans="1:12" s="8" customFormat="1" x14ac:dyDescent="0.2">
      <c r="A393" s="14" t="s">
        <v>245</v>
      </c>
      <c r="D393" s="388">
        <f>(1+D385)^4-1</f>
        <v>9.5315103256372602E-3</v>
      </c>
      <c r="E393" s="388">
        <f>(1+E385)^4-1</f>
        <v>5.3950595170475513E-2</v>
      </c>
      <c r="F393" s="388">
        <f>(1+F385)^4-1</f>
        <v>3.0339190665671367E-2</v>
      </c>
    </row>
    <row r="394" spans="1:12" s="8" customFormat="1" x14ac:dyDescent="0.2"/>
    <row r="395" spans="1:12" s="8" customFormat="1" x14ac:dyDescent="0.2"/>
    <row r="396" spans="1:12" s="8" customFormat="1" x14ac:dyDescent="0.2"/>
    <row r="397" spans="1:12" s="1" customFormat="1" x14ac:dyDescent="0.2">
      <c r="A397" s="81" t="s">
        <v>3267</v>
      </c>
      <c r="B397" s="38"/>
      <c r="C397" s="38"/>
      <c r="D397" s="38"/>
      <c r="E397" s="38"/>
      <c r="F397" s="38"/>
      <c r="G397" s="45" t="s">
        <v>2481</v>
      </c>
      <c r="H397" s="38"/>
    </row>
    <row r="398" spans="1:12" s="1" customFormat="1" x14ac:dyDescent="0.2">
      <c r="A398" s="1" t="s">
        <v>246</v>
      </c>
    </row>
    <row r="399" spans="1:12" s="1" customFormat="1" x14ac:dyDescent="0.2">
      <c r="A399" s="1" t="s">
        <v>247</v>
      </c>
    </row>
    <row r="400" spans="1:12" s="1" customFormat="1" x14ac:dyDescent="0.2">
      <c r="A400" s="1" t="s">
        <v>2499</v>
      </c>
    </row>
    <row r="401" spans="1:8" s="1" customFormat="1" x14ac:dyDescent="0.2">
      <c r="A401" s="4" t="s">
        <v>248</v>
      </c>
    </row>
    <row r="402" spans="1:8" s="1" customFormat="1" x14ac:dyDescent="0.2"/>
    <row r="403" spans="1:8" s="1" customFormat="1" hidden="1" x14ac:dyDescent="0.2">
      <c r="A403" s="4" t="s">
        <v>198</v>
      </c>
    </row>
    <row r="404" spans="1:8" s="1" customFormat="1" hidden="1" x14ac:dyDescent="0.2">
      <c r="A404" s="1" t="s">
        <v>2484</v>
      </c>
    </row>
    <row r="405" spans="1:8" s="1" customFormat="1" hidden="1" x14ac:dyDescent="0.2">
      <c r="A405" s="1" t="s">
        <v>2485</v>
      </c>
    </row>
    <row r="406" spans="1:8" s="1" customFormat="1" hidden="1" x14ac:dyDescent="0.2">
      <c r="A406" s="1" t="s">
        <v>2486</v>
      </c>
    </row>
    <row r="407" spans="1:8" s="1" customFormat="1" hidden="1" x14ac:dyDescent="0.2"/>
    <row r="408" spans="1:8" s="1" customFormat="1" hidden="1" x14ac:dyDescent="0.2">
      <c r="A408" s="1" t="s">
        <v>2487</v>
      </c>
    </row>
    <row r="409" spans="1:8" s="1" customFormat="1" x14ac:dyDescent="0.2">
      <c r="D409" s="389" t="s">
        <v>2242</v>
      </c>
      <c r="E409" s="389" t="s">
        <v>2238</v>
      </c>
      <c r="F409" s="389" t="s">
        <v>2244</v>
      </c>
      <c r="G409" s="180"/>
      <c r="H409" s="389" t="s">
        <v>2491</v>
      </c>
    </row>
    <row r="410" spans="1:8" s="1" customFormat="1" x14ac:dyDescent="0.2">
      <c r="D410" s="389" t="s">
        <v>2492</v>
      </c>
      <c r="E410" s="389" t="s">
        <v>2488</v>
      </c>
      <c r="F410" s="389" t="s">
        <v>2496</v>
      </c>
      <c r="G410" s="180"/>
      <c r="H410" s="389" t="s">
        <v>2492</v>
      </c>
    </row>
    <row r="411" spans="1:8" s="1" customFormat="1" x14ac:dyDescent="0.2">
      <c r="D411" s="389" t="s">
        <v>2493</v>
      </c>
      <c r="E411" s="389" t="s">
        <v>2489</v>
      </c>
      <c r="F411" s="389" t="s">
        <v>2243</v>
      </c>
      <c r="G411" s="180"/>
      <c r="H411" s="389" t="s">
        <v>2493</v>
      </c>
    </row>
    <row r="412" spans="1:8" s="1" customFormat="1" x14ac:dyDescent="0.2">
      <c r="D412" s="389" t="s">
        <v>2495</v>
      </c>
      <c r="E412" s="389" t="s">
        <v>2490</v>
      </c>
      <c r="F412" s="389" t="s">
        <v>2497</v>
      </c>
      <c r="G412" s="180"/>
      <c r="H412" s="389" t="s">
        <v>2494</v>
      </c>
    </row>
    <row r="413" spans="1:8" s="1" customFormat="1" x14ac:dyDescent="0.2">
      <c r="B413" s="39" t="s">
        <v>12</v>
      </c>
      <c r="C413" s="39" t="s">
        <v>202</v>
      </c>
      <c r="D413" s="39" t="s">
        <v>203</v>
      </c>
      <c r="E413" s="39" t="s">
        <v>204</v>
      </c>
      <c r="F413" s="39" t="s">
        <v>205</v>
      </c>
      <c r="G413" s="39"/>
      <c r="H413" s="39" t="s">
        <v>206</v>
      </c>
    </row>
    <row r="414" spans="1:8" s="1" customFormat="1" x14ac:dyDescent="0.2">
      <c r="A414" s="8"/>
      <c r="B414" s="79">
        <v>44197</v>
      </c>
      <c r="C414" s="8">
        <v>0</v>
      </c>
      <c r="D414" s="60"/>
      <c r="E414" s="60"/>
      <c r="F414" s="95">
        <v>-105</v>
      </c>
      <c r="G414" s="7" t="s">
        <v>2498</v>
      </c>
      <c r="H414" s="62">
        <v>100</v>
      </c>
    </row>
    <row r="415" spans="1:8" s="1" customFormat="1" x14ac:dyDescent="0.2">
      <c r="B415" s="79">
        <v>44377</v>
      </c>
      <c r="C415" s="8">
        <v>1</v>
      </c>
      <c r="D415" s="62">
        <f>6%/2*H414</f>
        <v>3</v>
      </c>
      <c r="E415" s="59"/>
      <c r="F415" s="95">
        <f>D415+E415</f>
        <v>3</v>
      </c>
      <c r="G415" s="7"/>
      <c r="H415" s="62">
        <f>H414-E415</f>
        <v>100</v>
      </c>
    </row>
    <row r="416" spans="1:8" s="1" customFormat="1" x14ac:dyDescent="0.2">
      <c r="A416" s="1" t="s">
        <v>2452</v>
      </c>
      <c r="B416" s="79">
        <v>44561</v>
      </c>
      <c r="C416" s="8">
        <f>C415+1</f>
        <v>2</v>
      </c>
      <c r="D416" s="62">
        <f t="shared" ref="D416:D424" si="32">6%/2*H415</f>
        <v>3</v>
      </c>
      <c r="E416" s="62">
        <f>100/5</f>
        <v>20</v>
      </c>
      <c r="F416" s="95">
        <f t="shared" ref="F416:F424" si="33">D416+E416</f>
        <v>23</v>
      </c>
      <c r="G416" s="7"/>
      <c r="H416" s="62">
        <f t="shared" ref="H416:H424" si="34">H415-E416</f>
        <v>80</v>
      </c>
    </row>
    <row r="417" spans="1:8" s="1" customFormat="1" x14ac:dyDescent="0.2">
      <c r="B417" s="79">
        <v>44742</v>
      </c>
      <c r="C417" s="8">
        <f t="shared" ref="C417:C424" si="35">C416+1</f>
        <v>3</v>
      </c>
      <c r="D417" s="62">
        <f>6%/2*H416</f>
        <v>2.4</v>
      </c>
      <c r="E417" s="59"/>
      <c r="F417" s="95">
        <f t="shared" si="33"/>
        <v>2.4</v>
      </c>
      <c r="G417" s="7"/>
      <c r="H417" s="62">
        <f t="shared" si="34"/>
        <v>80</v>
      </c>
    </row>
    <row r="418" spans="1:8" s="1" customFormat="1" x14ac:dyDescent="0.2">
      <c r="A418" s="1" t="s">
        <v>2452</v>
      </c>
      <c r="B418" s="79">
        <v>44926</v>
      </c>
      <c r="C418" s="8">
        <f t="shared" si="35"/>
        <v>4</v>
      </c>
      <c r="D418" s="62">
        <f>6%/2*H417</f>
        <v>2.4</v>
      </c>
      <c r="E418" s="62">
        <f>E416</f>
        <v>20</v>
      </c>
      <c r="F418" s="95">
        <f t="shared" si="33"/>
        <v>22.4</v>
      </c>
      <c r="G418" s="7"/>
      <c r="H418" s="62">
        <f t="shared" si="34"/>
        <v>60</v>
      </c>
    </row>
    <row r="419" spans="1:8" s="1" customFormat="1" x14ac:dyDescent="0.2">
      <c r="B419" s="79">
        <v>45107</v>
      </c>
      <c r="C419" s="8">
        <f t="shared" si="35"/>
        <v>5</v>
      </c>
      <c r="D419" s="62">
        <f>6%/2*H418</f>
        <v>1.7999999999999998</v>
      </c>
      <c r="E419" s="62"/>
      <c r="F419" s="95">
        <f t="shared" si="33"/>
        <v>1.7999999999999998</v>
      </c>
      <c r="G419" s="7"/>
      <c r="H419" s="62">
        <f t="shared" si="34"/>
        <v>60</v>
      </c>
    </row>
    <row r="420" spans="1:8" s="1" customFormat="1" x14ac:dyDescent="0.2">
      <c r="A420" s="1" t="s">
        <v>2452</v>
      </c>
      <c r="B420" s="79">
        <v>45291</v>
      </c>
      <c r="C420" s="8">
        <f t="shared" si="35"/>
        <v>6</v>
      </c>
      <c r="D420" s="62">
        <f>6%/2*H419</f>
        <v>1.7999999999999998</v>
      </c>
      <c r="E420" s="62">
        <f>E418</f>
        <v>20</v>
      </c>
      <c r="F420" s="95">
        <f t="shared" si="33"/>
        <v>21.8</v>
      </c>
      <c r="G420" s="7"/>
      <c r="H420" s="62">
        <f t="shared" si="34"/>
        <v>40</v>
      </c>
    </row>
    <row r="421" spans="1:8" s="1" customFormat="1" x14ac:dyDescent="0.2">
      <c r="B421" s="79">
        <v>45473</v>
      </c>
      <c r="C421" s="8">
        <f t="shared" si="35"/>
        <v>7</v>
      </c>
      <c r="D421" s="62">
        <f>6%/2*H420</f>
        <v>1.2</v>
      </c>
      <c r="E421" s="62"/>
      <c r="F421" s="95">
        <f t="shared" si="33"/>
        <v>1.2</v>
      </c>
      <c r="G421" s="7"/>
      <c r="H421" s="62">
        <f t="shared" si="34"/>
        <v>40</v>
      </c>
    </row>
    <row r="422" spans="1:8" s="1" customFormat="1" x14ac:dyDescent="0.2">
      <c r="A422" s="1" t="s">
        <v>2452</v>
      </c>
      <c r="B422" s="79">
        <v>45657</v>
      </c>
      <c r="C422" s="8">
        <f t="shared" si="35"/>
        <v>8</v>
      </c>
      <c r="D422" s="62">
        <f t="shared" si="32"/>
        <v>1.2</v>
      </c>
      <c r="E422" s="62">
        <f>E420</f>
        <v>20</v>
      </c>
      <c r="F422" s="95">
        <f t="shared" si="33"/>
        <v>21.2</v>
      </c>
      <c r="G422" s="7"/>
      <c r="H422" s="62">
        <f t="shared" si="34"/>
        <v>20</v>
      </c>
    </row>
    <row r="423" spans="1:8" s="1" customFormat="1" x14ac:dyDescent="0.2">
      <c r="B423" s="79">
        <v>45838</v>
      </c>
      <c r="C423" s="8">
        <f t="shared" si="35"/>
        <v>9</v>
      </c>
      <c r="D423" s="62">
        <f t="shared" si="32"/>
        <v>0.6</v>
      </c>
      <c r="E423" s="62"/>
      <c r="F423" s="95">
        <f t="shared" si="33"/>
        <v>0.6</v>
      </c>
      <c r="G423" s="7"/>
      <c r="H423" s="62">
        <f t="shared" si="34"/>
        <v>20</v>
      </c>
    </row>
    <row r="424" spans="1:8" s="1" customFormat="1" x14ac:dyDescent="0.2">
      <c r="A424" s="1" t="s">
        <v>2452</v>
      </c>
      <c r="B424" s="79">
        <v>46022</v>
      </c>
      <c r="C424" s="8">
        <f t="shared" si="35"/>
        <v>10</v>
      </c>
      <c r="D424" s="62">
        <f t="shared" si="32"/>
        <v>0.6</v>
      </c>
      <c r="E424" s="62">
        <f>E422</f>
        <v>20</v>
      </c>
      <c r="F424" s="95">
        <f t="shared" si="33"/>
        <v>20.6</v>
      </c>
      <c r="G424" s="7"/>
      <c r="H424" s="62">
        <f t="shared" si="34"/>
        <v>0</v>
      </c>
    </row>
    <row r="425" spans="1:8" s="8" customFormat="1" x14ac:dyDescent="0.2"/>
    <row r="426" spans="1:8" s="8" customFormat="1" x14ac:dyDescent="0.2">
      <c r="B426" s="8" t="s">
        <v>249</v>
      </c>
      <c r="F426" s="113">
        <f>IRR(F414:F424)</f>
        <v>2.092803210914318E-2</v>
      </c>
      <c r="H426" s="9"/>
    </row>
    <row r="427" spans="1:8" s="8" customFormat="1" x14ac:dyDescent="0.2">
      <c r="F427" s="113"/>
    </row>
    <row r="428" spans="1:8" s="8" customFormat="1" x14ac:dyDescent="0.2">
      <c r="B428" s="8" t="s">
        <v>250</v>
      </c>
      <c r="F428" s="113"/>
    </row>
    <row r="429" spans="1:8" s="1" customFormat="1" x14ac:dyDescent="0.2">
      <c r="B429" s="1" t="s">
        <v>251</v>
      </c>
      <c r="F429" s="44"/>
    </row>
    <row r="430" spans="1:8" s="1" customFormat="1" x14ac:dyDescent="0.2">
      <c r="F430" s="44"/>
    </row>
    <row r="431" spans="1:8" s="1" customFormat="1" x14ac:dyDescent="0.2">
      <c r="B431" s="1" t="s">
        <v>2500</v>
      </c>
      <c r="F431" s="44"/>
    </row>
    <row r="432" spans="1:8" s="1" customFormat="1" ht="17" thickBot="1" x14ac:dyDescent="0.25">
      <c r="B432" s="1" t="s">
        <v>252</v>
      </c>
      <c r="F432" s="44"/>
    </row>
    <row r="433" spans="1:8" s="1" customFormat="1" x14ac:dyDescent="0.2">
      <c r="B433" s="4" t="s">
        <v>222</v>
      </c>
      <c r="C433" s="574">
        <f>1.0209^2-1</f>
        <v>4.2236809999999902E-2</v>
      </c>
      <c r="F433" s="44"/>
    </row>
    <row r="434" spans="1:8" s="1" customFormat="1" ht="17" thickBot="1" x14ac:dyDescent="0.25">
      <c r="C434" s="575"/>
      <c r="F434" s="44"/>
    </row>
    <row r="435" spans="1:8" s="8" customFormat="1" ht="17" thickBot="1" x14ac:dyDescent="0.25">
      <c r="C435" s="98"/>
      <c r="E435" s="98"/>
    </row>
    <row r="436" spans="1:8" s="8" customFormat="1" x14ac:dyDescent="0.2">
      <c r="A436" s="358" t="s">
        <v>2400</v>
      </c>
      <c r="B436" s="29"/>
      <c r="C436" s="359"/>
      <c r="D436" s="29"/>
      <c r="E436" s="359"/>
      <c r="F436" s="29"/>
      <c r="G436" s="29"/>
      <c r="H436" s="30"/>
    </row>
    <row r="437" spans="1:8" s="8" customFormat="1" ht="17" thickBot="1" x14ac:dyDescent="0.25">
      <c r="A437" s="33" t="s">
        <v>2401</v>
      </c>
      <c r="B437" s="34"/>
      <c r="C437" s="360"/>
      <c r="D437" s="34"/>
      <c r="E437" s="360"/>
      <c r="F437" s="34"/>
      <c r="G437" s="34"/>
      <c r="H437" s="35"/>
    </row>
    <row r="438" spans="1:8" s="8" customFormat="1" x14ac:dyDescent="0.2">
      <c r="C438" s="98"/>
      <c r="E438" s="98"/>
    </row>
    <row r="439" spans="1:8" s="8" customFormat="1" ht="21" x14ac:dyDescent="0.25">
      <c r="B439" s="362"/>
      <c r="C439" s="363"/>
      <c r="D439" s="362"/>
      <c r="E439" s="363"/>
      <c r="F439" s="362"/>
      <c r="G439" s="362"/>
      <c r="H439" s="362"/>
    </row>
    <row r="440" spans="1:8" s="8" customFormat="1" ht="21" x14ac:dyDescent="0.25">
      <c r="B440" s="362"/>
      <c r="C440" s="363"/>
      <c r="D440" s="362"/>
      <c r="E440" s="363"/>
      <c r="F440" s="362"/>
      <c r="G440" s="362"/>
      <c r="H440" s="362"/>
    </row>
    <row r="441" spans="1:8" s="8" customFormat="1" ht="21" x14ac:dyDescent="0.25">
      <c r="B441" s="362"/>
      <c r="C441" s="363"/>
      <c r="D441" s="362"/>
      <c r="E441" s="363"/>
      <c r="F441" s="362"/>
      <c r="G441" s="362"/>
      <c r="H441" s="362"/>
    </row>
    <row r="442" spans="1:8" s="8" customFormat="1" ht="21" x14ac:dyDescent="0.25">
      <c r="B442" s="362"/>
      <c r="C442" s="363"/>
      <c r="D442" s="362"/>
      <c r="E442" s="363"/>
      <c r="F442" s="362"/>
      <c r="G442" s="362"/>
      <c r="H442" s="362"/>
    </row>
    <row r="443" spans="1:8" s="8" customFormat="1" ht="21" x14ac:dyDescent="0.25">
      <c r="B443" s="362"/>
      <c r="C443" s="363"/>
      <c r="D443" s="362"/>
      <c r="E443" s="363"/>
      <c r="F443" s="362"/>
      <c r="G443" s="362"/>
      <c r="H443" s="362"/>
    </row>
    <row r="444" spans="1:8" s="8" customFormat="1" ht="21" x14ac:dyDescent="0.25">
      <c r="B444" s="362"/>
      <c r="C444" s="363"/>
      <c r="D444" s="362"/>
      <c r="E444" s="363"/>
      <c r="F444" s="362"/>
      <c r="G444" s="362"/>
      <c r="H444" s="362"/>
    </row>
    <row r="445" spans="1:8" s="8" customFormat="1" ht="21" x14ac:dyDescent="0.25">
      <c r="A445" s="361" t="s">
        <v>2402</v>
      </c>
      <c r="C445" s="98"/>
      <c r="E445" s="98"/>
    </row>
    <row r="446" spans="1:8" s="8" customFormat="1" x14ac:dyDescent="0.2"/>
    <row r="447" spans="1:8" s="8" customFormat="1" x14ac:dyDescent="0.2">
      <c r="A447" s="109" t="s">
        <v>2403</v>
      </c>
      <c r="B447" s="109"/>
      <c r="C447" s="109"/>
      <c r="D447" s="109"/>
      <c r="E447" s="109"/>
      <c r="F447" s="109"/>
      <c r="G447" s="110" t="s">
        <v>225</v>
      </c>
      <c r="H447" s="109"/>
    </row>
    <row r="448" spans="1:8" s="8" customFormat="1" x14ac:dyDescent="0.2">
      <c r="A448" s="8" t="s">
        <v>226</v>
      </c>
    </row>
    <row r="449" spans="1:8" s="8" customFormat="1" x14ac:dyDescent="0.2">
      <c r="A449" s="8" t="s">
        <v>227</v>
      </c>
    </row>
    <row r="450" spans="1:8" s="8" customFormat="1" x14ac:dyDescent="0.2">
      <c r="A450" s="8" t="s">
        <v>228</v>
      </c>
    </row>
    <row r="451" spans="1:8" s="8" customFormat="1" x14ac:dyDescent="0.2"/>
    <row r="452" spans="1:8" s="1" customFormat="1" x14ac:dyDescent="0.2">
      <c r="A452" s="38" t="s">
        <v>2399</v>
      </c>
      <c r="B452" s="38"/>
      <c r="C452" s="38"/>
      <c r="D452" s="38"/>
      <c r="E452" s="38"/>
      <c r="F452" s="38"/>
      <c r="G452" s="81" t="s">
        <v>225</v>
      </c>
      <c r="H452" s="38"/>
    </row>
    <row r="453" spans="1:8" s="1" customFormat="1" x14ac:dyDescent="0.2">
      <c r="A453" s="1" t="s">
        <v>2405</v>
      </c>
    </row>
    <row r="454" spans="1:8" s="1" customFormat="1" x14ac:dyDescent="0.2">
      <c r="A454" s="1" t="s">
        <v>2406</v>
      </c>
    </row>
    <row r="455" spans="1:8" s="1" customFormat="1" x14ac:dyDescent="0.2">
      <c r="A455" s="1" t="s">
        <v>2407</v>
      </c>
    </row>
    <row r="456" spans="1:8" s="1" customFormat="1" x14ac:dyDescent="0.2">
      <c r="A456" s="1" t="s">
        <v>194</v>
      </c>
    </row>
    <row r="457" spans="1:8" s="1" customFormat="1" x14ac:dyDescent="0.2">
      <c r="A457" s="1" t="s">
        <v>195</v>
      </c>
    </row>
    <row r="458" spans="1:8" s="1" customFormat="1" x14ac:dyDescent="0.2">
      <c r="A458" s="1" t="s">
        <v>2409</v>
      </c>
    </row>
    <row r="459" spans="1:8" s="1" customFormat="1" x14ac:dyDescent="0.2">
      <c r="A459" s="1" t="s">
        <v>2410</v>
      </c>
    </row>
    <row r="460" spans="1:8" s="1" customFormat="1" x14ac:dyDescent="0.2">
      <c r="A460" s="1" t="s">
        <v>2411</v>
      </c>
    </row>
    <row r="461" spans="1:8" s="8" customFormat="1" x14ac:dyDescent="0.2"/>
    <row r="462" spans="1:8" s="8" customFormat="1" x14ac:dyDescent="0.2">
      <c r="A462" s="13" t="s">
        <v>2430</v>
      </c>
    </row>
    <row r="463" spans="1:8" s="8" customFormat="1" x14ac:dyDescent="0.2"/>
    <row r="464" spans="1:8" s="8" customFormat="1" x14ac:dyDescent="0.2"/>
    <row r="465" s="8" customFormat="1" x14ac:dyDescent="0.2"/>
    <row r="466" s="8" customFormat="1" x14ac:dyDescent="0.2"/>
    <row r="467" s="8" customFormat="1" x14ac:dyDescent="0.2"/>
    <row r="468" s="8" customFormat="1" x14ac:dyDescent="0.2"/>
    <row r="469" s="8" customFormat="1" x14ac:dyDescent="0.2"/>
    <row r="470" s="8" customFormat="1" x14ac:dyDescent="0.2"/>
    <row r="471" s="8" customFormat="1" x14ac:dyDescent="0.2"/>
    <row r="472" s="8" customFormat="1" x14ac:dyDescent="0.2"/>
    <row r="473" s="8" customFormat="1" x14ac:dyDescent="0.2"/>
    <row r="474" s="8" customFormat="1" x14ac:dyDescent="0.2"/>
    <row r="475" s="8" customFormat="1" x14ac:dyDescent="0.2"/>
    <row r="476" s="8" customFormat="1" x14ac:dyDescent="0.2"/>
    <row r="477" s="8" customFormat="1" x14ac:dyDescent="0.2"/>
    <row r="478" s="8" customFormat="1" x14ac:dyDescent="0.2"/>
    <row r="479" s="8" customFormat="1" x14ac:dyDescent="0.2"/>
    <row r="480" s="8" customFormat="1" x14ac:dyDescent="0.2"/>
    <row r="481" spans="1:8" s="8" customFormat="1" x14ac:dyDescent="0.2"/>
    <row r="482" spans="1:8" s="8" customFormat="1" x14ac:dyDescent="0.2"/>
    <row r="483" spans="1:8" s="8" customFormat="1" x14ac:dyDescent="0.2"/>
    <row r="484" spans="1:8" s="8" customFormat="1" x14ac:dyDescent="0.2"/>
    <row r="485" spans="1:8" s="8" customFormat="1" x14ac:dyDescent="0.2"/>
    <row r="486" spans="1:8" s="8" customFormat="1" x14ac:dyDescent="0.2"/>
    <row r="487" spans="1:8" s="8" customFormat="1" x14ac:dyDescent="0.2"/>
    <row r="488" spans="1:8" s="8" customFormat="1" ht="21" x14ac:dyDescent="0.25">
      <c r="A488" s="361" t="s">
        <v>2429</v>
      </c>
    </row>
    <row r="489" spans="1:8" s="8" customFormat="1" x14ac:dyDescent="0.2"/>
    <row r="490" spans="1:8" s="8" customFormat="1" x14ac:dyDescent="0.2">
      <c r="A490" s="109" t="s">
        <v>2404</v>
      </c>
      <c r="B490" s="109"/>
      <c r="C490" s="109"/>
      <c r="D490" s="109"/>
      <c r="E490" s="109"/>
      <c r="F490" s="109"/>
      <c r="G490" s="110" t="s">
        <v>225</v>
      </c>
      <c r="H490" s="109"/>
    </row>
    <row r="491" spans="1:8" s="8" customFormat="1" x14ac:dyDescent="0.2">
      <c r="A491" s="8" t="s">
        <v>226</v>
      </c>
    </row>
    <row r="492" spans="1:8" s="8" customFormat="1" x14ac:dyDescent="0.2">
      <c r="A492" s="8" t="s">
        <v>227</v>
      </c>
    </row>
    <row r="493" spans="1:8" s="8" customFormat="1" x14ac:dyDescent="0.2">
      <c r="A493" s="8" t="s">
        <v>228</v>
      </c>
    </row>
    <row r="494" spans="1:8" s="8" customFormat="1" x14ac:dyDescent="0.2"/>
    <row r="495" spans="1:8" s="8" customFormat="1" x14ac:dyDescent="0.2">
      <c r="B495" s="108" t="s">
        <v>12</v>
      </c>
      <c r="C495" s="108" t="s">
        <v>202</v>
      </c>
      <c r="D495" s="108" t="s">
        <v>203</v>
      </c>
      <c r="E495" s="108" t="s">
        <v>204</v>
      </c>
      <c r="F495" s="108" t="s">
        <v>205</v>
      </c>
      <c r="G495" s="108"/>
      <c r="H495" s="108" t="s">
        <v>206</v>
      </c>
    </row>
    <row r="496" spans="1:8" s="8" customFormat="1" x14ac:dyDescent="0.2">
      <c r="B496" s="79">
        <v>44197</v>
      </c>
      <c r="C496" s="8">
        <v>0</v>
      </c>
      <c r="D496" s="106"/>
      <c r="E496" s="106"/>
      <c r="F496" s="106"/>
      <c r="H496" s="62">
        <v>100</v>
      </c>
    </row>
    <row r="497" spans="2:8" s="8" customFormat="1" x14ac:dyDescent="0.2">
      <c r="B497" s="79">
        <v>44377</v>
      </c>
      <c r="C497" s="8">
        <v>1</v>
      </c>
      <c r="D497" s="62">
        <f>4%*H496</f>
        <v>4</v>
      </c>
      <c r="E497" s="62">
        <v>0</v>
      </c>
      <c r="F497" s="95">
        <f>D497+E497</f>
        <v>4</v>
      </c>
      <c r="H497" s="62">
        <f>H496-E497</f>
        <v>100</v>
      </c>
    </row>
    <row r="498" spans="2:8" s="8" customFormat="1" x14ac:dyDescent="0.2">
      <c r="B498" s="79">
        <v>44561</v>
      </c>
      <c r="C498" s="8">
        <v>2</v>
      </c>
      <c r="D498" s="62">
        <f t="shared" ref="D498:D507" si="36">4%*H497</f>
        <v>4</v>
      </c>
      <c r="E498" s="62">
        <v>0</v>
      </c>
      <c r="F498" s="95">
        <f t="shared" ref="F498:F508" si="37">D498+E498</f>
        <v>4</v>
      </c>
      <c r="H498" s="62">
        <f t="shared" ref="H498:H508" si="38">H497-E498</f>
        <v>100</v>
      </c>
    </row>
    <row r="499" spans="2:8" s="8" customFormat="1" x14ac:dyDescent="0.2">
      <c r="B499" s="79">
        <v>44742</v>
      </c>
      <c r="C499" s="8">
        <v>3</v>
      </c>
      <c r="D499" s="62">
        <f t="shared" si="36"/>
        <v>4</v>
      </c>
      <c r="E499" s="62">
        <v>0</v>
      </c>
      <c r="F499" s="95">
        <f t="shared" si="37"/>
        <v>4</v>
      </c>
      <c r="H499" s="62">
        <f t="shared" si="38"/>
        <v>100</v>
      </c>
    </row>
    <row r="500" spans="2:8" s="8" customFormat="1" x14ac:dyDescent="0.2">
      <c r="B500" s="79">
        <v>44926</v>
      </c>
      <c r="C500" s="8">
        <v>4</v>
      </c>
      <c r="D500" s="62">
        <f t="shared" si="36"/>
        <v>4</v>
      </c>
      <c r="E500" s="62">
        <v>0</v>
      </c>
      <c r="F500" s="95">
        <f t="shared" si="37"/>
        <v>4</v>
      </c>
      <c r="H500" s="62">
        <f t="shared" si="38"/>
        <v>100</v>
      </c>
    </row>
    <row r="501" spans="2:8" s="8" customFormat="1" x14ac:dyDescent="0.2">
      <c r="B501" s="79">
        <v>45107</v>
      </c>
      <c r="C501" s="8">
        <v>5</v>
      </c>
      <c r="D501" s="62">
        <f t="shared" si="36"/>
        <v>4</v>
      </c>
      <c r="E501" s="62">
        <v>0</v>
      </c>
      <c r="F501" s="95">
        <f t="shared" si="37"/>
        <v>4</v>
      </c>
      <c r="H501" s="62">
        <f>H500-E501</f>
        <v>100</v>
      </c>
    </row>
    <row r="502" spans="2:8" s="8" customFormat="1" x14ac:dyDescent="0.2">
      <c r="B502" s="79">
        <v>45291</v>
      </c>
      <c r="C502" s="8">
        <v>6</v>
      </c>
      <c r="D502" s="62">
        <f t="shared" si="36"/>
        <v>4</v>
      </c>
      <c r="E502" s="62">
        <f>100/4</f>
        <v>25</v>
      </c>
      <c r="F502" s="95">
        <f t="shared" si="37"/>
        <v>29</v>
      </c>
      <c r="H502" s="62">
        <f t="shared" si="38"/>
        <v>75</v>
      </c>
    </row>
    <row r="503" spans="2:8" s="8" customFormat="1" x14ac:dyDescent="0.2">
      <c r="B503" s="79">
        <v>45473</v>
      </c>
      <c r="C503" s="8">
        <v>7</v>
      </c>
      <c r="D503" s="62">
        <f t="shared" si="36"/>
        <v>3</v>
      </c>
      <c r="E503" s="62">
        <v>0</v>
      </c>
      <c r="F503" s="95">
        <f t="shared" si="37"/>
        <v>3</v>
      </c>
      <c r="H503" s="62">
        <f>H502-E503</f>
        <v>75</v>
      </c>
    </row>
    <row r="504" spans="2:8" s="8" customFormat="1" x14ac:dyDescent="0.2">
      <c r="B504" s="79">
        <v>45657</v>
      </c>
      <c r="C504" s="8">
        <v>8</v>
      </c>
      <c r="D504" s="62">
        <f t="shared" si="36"/>
        <v>3</v>
      </c>
      <c r="E504" s="62">
        <f>100/4</f>
        <v>25</v>
      </c>
      <c r="F504" s="95">
        <f t="shared" si="37"/>
        <v>28</v>
      </c>
      <c r="H504" s="62">
        <f t="shared" si="38"/>
        <v>50</v>
      </c>
    </row>
    <row r="505" spans="2:8" s="8" customFormat="1" x14ac:dyDescent="0.2">
      <c r="B505" s="79">
        <v>45838</v>
      </c>
      <c r="C505" s="8">
        <v>9</v>
      </c>
      <c r="D505" s="62">
        <f t="shared" si="36"/>
        <v>2</v>
      </c>
      <c r="E505" s="62">
        <v>0</v>
      </c>
      <c r="F505" s="95">
        <f t="shared" si="37"/>
        <v>2</v>
      </c>
      <c r="H505" s="62">
        <f t="shared" si="38"/>
        <v>50</v>
      </c>
    </row>
    <row r="506" spans="2:8" s="8" customFormat="1" x14ac:dyDescent="0.2">
      <c r="B506" s="79">
        <v>46022</v>
      </c>
      <c r="C506" s="8">
        <v>10</v>
      </c>
      <c r="D506" s="62">
        <f t="shared" si="36"/>
        <v>2</v>
      </c>
      <c r="E506" s="62">
        <f>100/4</f>
        <v>25</v>
      </c>
      <c r="F506" s="95">
        <f t="shared" si="37"/>
        <v>27</v>
      </c>
      <c r="H506" s="62">
        <f t="shared" si="38"/>
        <v>25</v>
      </c>
    </row>
    <row r="507" spans="2:8" s="8" customFormat="1" x14ac:dyDescent="0.2">
      <c r="B507" s="79">
        <v>46203</v>
      </c>
      <c r="C507" s="8">
        <v>11</v>
      </c>
      <c r="D507" s="111">
        <f t="shared" si="36"/>
        <v>1</v>
      </c>
      <c r="E507" s="62">
        <v>0</v>
      </c>
      <c r="F507" s="95">
        <f t="shared" si="37"/>
        <v>1</v>
      </c>
      <c r="H507" s="62">
        <f t="shared" si="38"/>
        <v>25</v>
      </c>
    </row>
    <row r="508" spans="2:8" s="8" customFormat="1" x14ac:dyDescent="0.2">
      <c r="B508" s="79">
        <v>46387</v>
      </c>
      <c r="C508" s="8">
        <v>12</v>
      </c>
      <c r="D508" s="62">
        <f>4%*H507</f>
        <v>1</v>
      </c>
      <c r="E508" s="62">
        <f>100/4</f>
        <v>25</v>
      </c>
      <c r="F508" s="95">
        <f t="shared" si="37"/>
        <v>26</v>
      </c>
      <c r="H508" s="62">
        <f t="shared" si="38"/>
        <v>0</v>
      </c>
    </row>
    <row r="509" spans="2:8" s="8" customFormat="1" x14ac:dyDescent="0.2">
      <c r="B509" s="79"/>
      <c r="D509" s="62"/>
      <c r="E509" s="62"/>
      <c r="H509" s="62"/>
    </row>
    <row r="510" spans="2:8" s="8" customFormat="1" x14ac:dyDescent="0.2"/>
    <row r="511" spans="2:8" s="8" customFormat="1" x14ac:dyDescent="0.2"/>
    <row r="512" spans="2:8" s="8" customFormat="1" x14ac:dyDescent="0.2">
      <c r="D512" s="8" t="s">
        <v>229</v>
      </c>
      <c r="F512" s="112">
        <f>NPV(3%,F497:F508)</f>
        <v>107.73027261593924</v>
      </c>
      <c r="H512" s="99" t="s">
        <v>230</v>
      </c>
    </row>
    <row r="513" spans="1:8" s="8" customFormat="1" x14ac:dyDescent="0.2"/>
    <row r="514" spans="1:8" s="1" customFormat="1" x14ac:dyDescent="0.2">
      <c r="A514" s="38" t="s">
        <v>2412</v>
      </c>
      <c r="B514" s="38"/>
      <c r="C514" s="38"/>
      <c r="D514" s="38"/>
      <c r="E514" s="38"/>
      <c r="F514" s="38"/>
      <c r="G514" s="81" t="s">
        <v>225</v>
      </c>
      <c r="H514" s="38"/>
    </row>
    <row r="515" spans="1:8" s="1" customFormat="1" x14ac:dyDescent="0.2">
      <c r="A515" s="1" t="s">
        <v>2405</v>
      </c>
    </row>
    <row r="516" spans="1:8" s="1" customFormat="1" x14ac:dyDescent="0.2">
      <c r="A516" s="1" t="s">
        <v>2406</v>
      </c>
    </row>
    <row r="517" spans="1:8" s="1" customFormat="1" x14ac:dyDescent="0.2">
      <c r="A517" s="1" t="s">
        <v>2407</v>
      </c>
    </row>
    <row r="518" spans="1:8" s="1" customFormat="1" x14ac:dyDescent="0.2">
      <c r="A518" s="1" t="s">
        <v>194</v>
      </c>
    </row>
    <row r="519" spans="1:8" s="1" customFormat="1" x14ac:dyDescent="0.2">
      <c r="A519" s="1" t="s">
        <v>195</v>
      </c>
    </row>
    <row r="520" spans="1:8" s="1" customFormat="1" x14ac:dyDescent="0.2">
      <c r="A520" s="1" t="s">
        <v>2409</v>
      </c>
    </row>
    <row r="521" spans="1:8" s="1" customFormat="1" x14ac:dyDescent="0.2">
      <c r="A521" s="1" t="s">
        <v>2410</v>
      </c>
    </row>
    <row r="522" spans="1:8" s="1" customFormat="1" x14ac:dyDescent="0.2">
      <c r="A522" s="1" t="s">
        <v>2411</v>
      </c>
    </row>
    <row r="524" spans="1:8" x14ac:dyDescent="0.2">
      <c r="A524" s="4" t="s">
        <v>2413</v>
      </c>
    </row>
    <row r="525" spans="1:8" x14ac:dyDescent="0.2">
      <c r="B525" s="108" t="s">
        <v>12</v>
      </c>
      <c r="C525" s="108" t="s">
        <v>202</v>
      </c>
      <c r="D525" s="108" t="s">
        <v>203</v>
      </c>
      <c r="E525" s="108" t="s">
        <v>204</v>
      </c>
      <c r="F525" s="108" t="s">
        <v>205</v>
      </c>
      <c r="G525" s="108"/>
      <c r="H525" s="108" t="s">
        <v>206</v>
      </c>
    </row>
    <row r="526" spans="1:8" x14ac:dyDescent="0.2">
      <c r="B526" s="79">
        <v>44562</v>
      </c>
      <c r="C526" s="8">
        <v>0</v>
      </c>
      <c r="D526" s="106"/>
      <c r="E526" s="106"/>
      <c r="F526" s="106"/>
      <c r="G526" s="8"/>
      <c r="H526" s="62">
        <v>150</v>
      </c>
    </row>
    <row r="527" spans="1:8" x14ac:dyDescent="0.2">
      <c r="B527" s="79">
        <v>44651</v>
      </c>
      <c r="C527" s="8">
        <v>1</v>
      </c>
      <c r="D527" s="111">
        <f>8%/4*H526</f>
        <v>3</v>
      </c>
      <c r="E527" s="111">
        <v>0</v>
      </c>
      <c r="F527" s="364">
        <f>D527+E527</f>
        <v>3</v>
      </c>
      <c r="G527" s="8"/>
      <c r="H527" s="62">
        <f t="shared" ref="H527:H538" si="39">H526-E527</f>
        <v>150</v>
      </c>
    </row>
    <row r="528" spans="1:8" x14ac:dyDescent="0.2">
      <c r="B528" s="79">
        <v>44742</v>
      </c>
      <c r="C528" s="8">
        <v>2</v>
      </c>
      <c r="D528" s="111">
        <f t="shared" ref="D528:D538" si="40">8%/4*H527</f>
        <v>3</v>
      </c>
      <c r="E528" s="111">
        <v>0</v>
      </c>
      <c r="F528" s="364">
        <f t="shared" ref="F528:F538" si="41">D528+E528</f>
        <v>3</v>
      </c>
      <c r="G528" s="8"/>
      <c r="H528" s="62">
        <f t="shared" si="39"/>
        <v>150</v>
      </c>
    </row>
    <row r="529" spans="1:8" x14ac:dyDescent="0.2">
      <c r="B529" s="79">
        <v>44834</v>
      </c>
      <c r="C529" s="8">
        <v>3</v>
      </c>
      <c r="D529" s="111">
        <f t="shared" si="40"/>
        <v>3</v>
      </c>
      <c r="E529" s="111">
        <v>0</v>
      </c>
      <c r="F529" s="364">
        <f t="shared" si="41"/>
        <v>3</v>
      </c>
      <c r="G529" s="8"/>
      <c r="H529" s="62">
        <f t="shared" si="39"/>
        <v>150</v>
      </c>
    </row>
    <row r="530" spans="1:8" x14ac:dyDescent="0.2">
      <c r="B530" s="79">
        <v>44926</v>
      </c>
      <c r="C530" s="8">
        <v>4</v>
      </c>
      <c r="D530" s="111">
        <f t="shared" si="40"/>
        <v>3</v>
      </c>
      <c r="E530" s="111">
        <f>150/3</f>
        <v>50</v>
      </c>
      <c r="F530" s="364">
        <f t="shared" si="41"/>
        <v>53</v>
      </c>
      <c r="G530" s="8"/>
      <c r="H530" s="62">
        <f t="shared" si="39"/>
        <v>100</v>
      </c>
    </row>
    <row r="531" spans="1:8" x14ac:dyDescent="0.2">
      <c r="B531" s="79">
        <v>45016</v>
      </c>
      <c r="C531" s="8">
        <v>5</v>
      </c>
      <c r="D531" s="111">
        <f t="shared" si="40"/>
        <v>2</v>
      </c>
      <c r="E531" s="111">
        <v>0</v>
      </c>
      <c r="F531" s="364">
        <f t="shared" si="41"/>
        <v>2</v>
      </c>
      <c r="G531" s="8"/>
      <c r="H531" s="62">
        <f t="shared" si="39"/>
        <v>100</v>
      </c>
    </row>
    <row r="532" spans="1:8" x14ac:dyDescent="0.2">
      <c r="B532" s="79">
        <v>45107</v>
      </c>
      <c r="C532" s="8">
        <v>6</v>
      </c>
      <c r="D532" s="111">
        <f t="shared" si="40"/>
        <v>2</v>
      </c>
      <c r="E532" s="111">
        <v>0</v>
      </c>
      <c r="F532" s="364">
        <f t="shared" si="41"/>
        <v>2</v>
      </c>
      <c r="G532" s="8"/>
      <c r="H532" s="62">
        <f t="shared" si="39"/>
        <v>100</v>
      </c>
    </row>
    <row r="533" spans="1:8" x14ac:dyDescent="0.2">
      <c r="B533" s="79">
        <v>45199</v>
      </c>
      <c r="C533" s="8">
        <v>7</v>
      </c>
      <c r="D533" s="111">
        <f t="shared" si="40"/>
        <v>2</v>
      </c>
      <c r="E533" s="111">
        <v>0</v>
      </c>
      <c r="F533" s="364">
        <f t="shared" si="41"/>
        <v>2</v>
      </c>
      <c r="G533" s="8"/>
      <c r="H533" s="62">
        <f t="shared" si="39"/>
        <v>100</v>
      </c>
    </row>
    <row r="534" spans="1:8" x14ac:dyDescent="0.2">
      <c r="B534" s="79">
        <v>45291</v>
      </c>
      <c r="C534" s="8">
        <v>8</v>
      </c>
      <c r="D534" s="111">
        <f t="shared" si="40"/>
        <v>2</v>
      </c>
      <c r="E534" s="111">
        <f>E530</f>
        <v>50</v>
      </c>
      <c r="F534" s="364">
        <f t="shared" si="41"/>
        <v>52</v>
      </c>
      <c r="G534" s="8"/>
      <c r="H534" s="62">
        <f t="shared" si="39"/>
        <v>50</v>
      </c>
    </row>
    <row r="535" spans="1:8" x14ac:dyDescent="0.2">
      <c r="B535" s="79">
        <v>45382</v>
      </c>
      <c r="C535" s="8">
        <v>9</v>
      </c>
      <c r="D535" s="111">
        <f t="shared" si="40"/>
        <v>1</v>
      </c>
      <c r="E535" s="111">
        <v>0</v>
      </c>
      <c r="F535" s="364">
        <f t="shared" si="41"/>
        <v>1</v>
      </c>
      <c r="G535" s="8"/>
      <c r="H535" s="62">
        <f t="shared" si="39"/>
        <v>50</v>
      </c>
    </row>
    <row r="536" spans="1:8" x14ac:dyDescent="0.2">
      <c r="B536" s="79">
        <v>45473</v>
      </c>
      <c r="C536" s="8">
        <v>10</v>
      </c>
      <c r="D536" s="111">
        <f t="shared" si="40"/>
        <v>1</v>
      </c>
      <c r="E536" s="111">
        <v>0</v>
      </c>
      <c r="F536" s="364">
        <f t="shared" si="41"/>
        <v>1</v>
      </c>
      <c r="G536" s="8"/>
      <c r="H536" s="62">
        <f t="shared" si="39"/>
        <v>50</v>
      </c>
    </row>
    <row r="537" spans="1:8" x14ac:dyDescent="0.2">
      <c r="B537" s="79">
        <v>45565</v>
      </c>
      <c r="C537" s="8">
        <v>11</v>
      </c>
      <c r="D537" s="111">
        <f t="shared" si="40"/>
        <v>1</v>
      </c>
      <c r="E537" s="111">
        <v>0</v>
      </c>
      <c r="F537" s="364">
        <f t="shared" si="41"/>
        <v>1</v>
      </c>
      <c r="G537" s="8"/>
      <c r="H537" s="62">
        <f t="shared" si="39"/>
        <v>50</v>
      </c>
    </row>
    <row r="538" spans="1:8" x14ac:dyDescent="0.2">
      <c r="B538" s="79">
        <v>45657</v>
      </c>
      <c r="C538" s="8">
        <v>12</v>
      </c>
      <c r="D538" s="111">
        <f t="shared" si="40"/>
        <v>1</v>
      </c>
      <c r="E538" s="111">
        <f>E534</f>
        <v>50</v>
      </c>
      <c r="F538" s="364">
        <f t="shared" si="41"/>
        <v>51</v>
      </c>
      <c r="G538" s="8"/>
      <c r="H538" s="62">
        <f t="shared" si="39"/>
        <v>0</v>
      </c>
    </row>
    <row r="539" spans="1:8" ht="17" thickBot="1" x14ac:dyDescent="0.25"/>
    <row r="540" spans="1:8" s="1" customFormat="1" ht="17" thickBot="1" x14ac:dyDescent="0.25">
      <c r="A540" s="336" t="s">
        <v>195</v>
      </c>
      <c r="B540" s="150"/>
      <c r="C540" s="151"/>
    </row>
    <row r="541" spans="1:8" s="1" customFormat="1" x14ac:dyDescent="0.2">
      <c r="A541" s="1" t="s">
        <v>2414</v>
      </c>
      <c r="F541" s="365">
        <f>(1+10.3812891%)^0.25-1</f>
        <v>2.5000000087056273E-2</v>
      </c>
    </row>
    <row r="542" spans="1:8" s="1" customFormat="1" x14ac:dyDescent="0.2">
      <c r="A542" s="1" t="s">
        <v>2415</v>
      </c>
      <c r="F542" s="366">
        <f>NPV(F541,F527:F538)</f>
        <v>144.70253091656031</v>
      </c>
    </row>
    <row r="543" spans="1:8" s="1" customFormat="1" ht="17" thickBot="1" x14ac:dyDescent="0.25"/>
    <row r="544" spans="1:8" s="1" customFormat="1" ht="17" thickBot="1" x14ac:dyDescent="0.25">
      <c r="A544" s="336" t="s">
        <v>2409</v>
      </c>
      <c r="B544" s="150"/>
      <c r="C544" s="150"/>
      <c r="D544" s="151"/>
    </row>
    <row r="545" spans="2:8" s="1" customFormat="1" x14ac:dyDescent="0.2"/>
    <row r="546" spans="2:8" s="1" customFormat="1" x14ac:dyDescent="0.2">
      <c r="B546" s="108" t="s">
        <v>12</v>
      </c>
      <c r="C546" s="108" t="s">
        <v>202</v>
      </c>
      <c r="D546" s="108" t="s">
        <v>203</v>
      </c>
      <c r="E546" s="108" t="s">
        <v>204</v>
      </c>
      <c r="F546" s="108" t="s">
        <v>205</v>
      </c>
      <c r="G546" s="108"/>
      <c r="H546" s="108" t="s">
        <v>206</v>
      </c>
    </row>
    <row r="547" spans="2:8" s="1" customFormat="1" x14ac:dyDescent="0.2">
      <c r="B547" s="79">
        <v>44562</v>
      </c>
      <c r="C547" s="8">
        <v>0</v>
      </c>
      <c r="D547" s="106"/>
      <c r="E547" s="106"/>
      <c r="F547" s="106"/>
      <c r="G547" s="8"/>
      <c r="H547" s="62">
        <v>150</v>
      </c>
    </row>
    <row r="548" spans="2:8" s="1" customFormat="1" x14ac:dyDescent="0.2">
      <c r="B548" s="79">
        <v>44651</v>
      </c>
      <c r="C548" s="8">
        <v>1</v>
      </c>
      <c r="D548" s="367">
        <f>8%/4*H547</f>
        <v>3</v>
      </c>
      <c r="E548" s="367">
        <v>0</v>
      </c>
      <c r="F548" s="367">
        <f>D548+E548</f>
        <v>3</v>
      </c>
      <c r="G548" s="8"/>
      <c r="H548" s="62">
        <f>H547-E548</f>
        <v>150</v>
      </c>
    </row>
    <row r="549" spans="2:8" x14ac:dyDescent="0.2">
      <c r="B549" s="79">
        <v>44742</v>
      </c>
      <c r="C549" s="8">
        <v>2</v>
      </c>
      <c r="D549" s="367">
        <f t="shared" ref="D549:D560" si="42">8%/4*H548</f>
        <v>3</v>
      </c>
      <c r="E549" s="367">
        <v>0</v>
      </c>
      <c r="F549" s="367">
        <f t="shared" ref="F549:F560" si="43">D549+E549</f>
        <v>3</v>
      </c>
      <c r="G549" s="8"/>
      <c r="H549" s="62">
        <f>H548-E549</f>
        <v>150</v>
      </c>
    </row>
    <row r="550" spans="2:8" x14ac:dyDescent="0.2">
      <c r="B550" s="79">
        <v>44773</v>
      </c>
      <c r="C550" s="570" t="s">
        <v>2416</v>
      </c>
      <c r="D550" s="570"/>
      <c r="E550" s="570"/>
      <c r="F550" s="570"/>
      <c r="G550" s="570"/>
      <c r="H550" s="570"/>
    </row>
    <row r="551" spans="2:8" x14ac:dyDescent="0.2">
      <c r="B551" s="79">
        <v>44834</v>
      </c>
      <c r="C551" s="8">
        <v>3</v>
      </c>
      <c r="D551" s="111">
        <f>8%/4*H549</f>
        <v>3</v>
      </c>
      <c r="E551" s="111">
        <v>0</v>
      </c>
      <c r="F551" s="364">
        <f t="shared" si="43"/>
        <v>3</v>
      </c>
      <c r="G551" s="8"/>
      <c r="H551" s="62">
        <f>H549-E551</f>
        <v>150</v>
      </c>
    </row>
    <row r="552" spans="2:8" x14ac:dyDescent="0.2">
      <c r="B552" s="79">
        <v>44926</v>
      </c>
      <c r="C552" s="8">
        <v>4</v>
      </c>
      <c r="D552" s="111">
        <f t="shared" si="42"/>
        <v>3</v>
      </c>
      <c r="E552" s="111">
        <f>150/3</f>
        <v>50</v>
      </c>
      <c r="F552" s="364">
        <f t="shared" si="43"/>
        <v>53</v>
      </c>
      <c r="G552" s="8"/>
      <c r="H552" s="62">
        <f t="shared" ref="H552:H560" si="44">H551-E552</f>
        <v>100</v>
      </c>
    </row>
    <row r="553" spans="2:8" x14ac:dyDescent="0.2">
      <c r="B553" s="79">
        <v>45016</v>
      </c>
      <c r="C553" s="8">
        <v>5</v>
      </c>
      <c r="D553" s="111">
        <f t="shared" si="42"/>
        <v>2</v>
      </c>
      <c r="E553" s="111">
        <v>0</v>
      </c>
      <c r="F553" s="364">
        <f t="shared" si="43"/>
        <v>2</v>
      </c>
      <c r="G553" s="8"/>
      <c r="H553" s="62">
        <f t="shared" si="44"/>
        <v>100</v>
      </c>
    </row>
    <row r="554" spans="2:8" x14ac:dyDescent="0.2">
      <c r="B554" s="79">
        <v>45107</v>
      </c>
      <c r="C554" s="8">
        <v>6</v>
      </c>
      <c r="D554" s="111">
        <f t="shared" si="42"/>
        <v>2</v>
      </c>
      <c r="E554" s="111">
        <v>0</v>
      </c>
      <c r="F554" s="364">
        <f t="shared" si="43"/>
        <v>2</v>
      </c>
      <c r="G554" s="8"/>
      <c r="H554" s="62">
        <f t="shared" si="44"/>
        <v>100</v>
      </c>
    </row>
    <row r="555" spans="2:8" x14ac:dyDescent="0.2">
      <c r="B555" s="79">
        <v>45199</v>
      </c>
      <c r="C555" s="8">
        <v>7</v>
      </c>
      <c r="D555" s="111">
        <f t="shared" si="42"/>
        <v>2</v>
      </c>
      <c r="E555" s="111">
        <v>0</v>
      </c>
      <c r="F555" s="364">
        <f t="shared" si="43"/>
        <v>2</v>
      </c>
      <c r="G555" s="8"/>
      <c r="H555" s="62">
        <f t="shared" si="44"/>
        <v>100</v>
      </c>
    </row>
    <row r="556" spans="2:8" x14ac:dyDescent="0.2">
      <c r="B556" s="79">
        <v>45291</v>
      </c>
      <c r="C556" s="8">
        <v>8</v>
      </c>
      <c r="D556" s="111">
        <f t="shared" si="42"/>
        <v>2</v>
      </c>
      <c r="E556" s="111">
        <f>E552</f>
        <v>50</v>
      </c>
      <c r="F556" s="364">
        <f t="shared" si="43"/>
        <v>52</v>
      </c>
      <c r="G556" s="8"/>
      <c r="H556" s="62">
        <f t="shared" si="44"/>
        <v>50</v>
      </c>
    </row>
    <row r="557" spans="2:8" x14ac:dyDescent="0.2">
      <c r="B557" s="79">
        <v>45382</v>
      </c>
      <c r="C557" s="8">
        <v>9</v>
      </c>
      <c r="D557" s="111">
        <f t="shared" si="42"/>
        <v>1</v>
      </c>
      <c r="E557" s="111">
        <v>0</v>
      </c>
      <c r="F557" s="364">
        <f t="shared" si="43"/>
        <v>1</v>
      </c>
      <c r="G557" s="8"/>
      <c r="H557" s="62">
        <f t="shared" si="44"/>
        <v>50</v>
      </c>
    </row>
    <row r="558" spans="2:8" x14ac:dyDescent="0.2">
      <c r="B558" s="79">
        <v>45473</v>
      </c>
      <c r="C558" s="8">
        <v>10</v>
      </c>
      <c r="D558" s="111">
        <f t="shared" si="42"/>
        <v>1</v>
      </c>
      <c r="E558" s="111">
        <v>0</v>
      </c>
      <c r="F558" s="364">
        <f t="shared" si="43"/>
        <v>1</v>
      </c>
      <c r="G558" s="8"/>
      <c r="H558" s="62">
        <f t="shared" si="44"/>
        <v>50</v>
      </c>
    </row>
    <row r="559" spans="2:8" x14ac:dyDescent="0.2">
      <c r="B559" s="79">
        <v>45565</v>
      </c>
      <c r="C559" s="8">
        <v>11</v>
      </c>
      <c r="D559" s="111">
        <f t="shared" si="42"/>
        <v>1</v>
      </c>
      <c r="E559" s="111">
        <v>0</v>
      </c>
      <c r="F559" s="364">
        <f t="shared" si="43"/>
        <v>1</v>
      </c>
      <c r="G559" s="8"/>
      <c r="H559" s="62">
        <f t="shared" si="44"/>
        <v>50</v>
      </c>
    </row>
    <row r="560" spans="2:8" x14ac:dyDescent="0.2">
      <c r="B560" s="79">
        <v>45657</v>
      </c>
      <c r="C560" s="8">
        <v>12</v>
      </c>
      <c r="D560" s="111">
        <f t="shared" si="42"/>
        <v>1</v>
      </c>
      <c r="E560" s="111">
        <f>E556</f>
        <v>50</v>
      </c>
      <c r="F560" s="364">
        <f t="shared" si="43"/>
        <v>51</v>
      </c>
      <c r="G560" s="8"/>
      <c r="H560" s="62">
        <f t="shared" si="44"/>
        <v>0</v>
      </c>
    </row>
    <row r="562" spans="1:8" x14ac:dyDescent="0.2">
      <c r="B562" s="1" t="s">
        <v>2414</v>
      </c>
      <c r="C562" s="1"/>
      <c r="D562" s="1"/>
      <c r="E562" s="1"/>
      <c r="F562" s="365">
        <f>(1+10.3812891%)^0.25-1</f>
        <v>2.5000000087056273E-2</v>
      </c>
    </row>
    <row r="563" spans="1:8" x14ac:dyDescent="0.2">
      <c r="B563" s="1" t="s">
        <v>2415</v>
      </c>
      <c r="C563" s="1"/>
      <c r="D563" s="1"/>
      <c r="E563" s="1"/>
      <c r="F563" s="368">
        <f>NPV(F562,F551:F560)</f>
        <v>145.95309656977435</v>
      </c>
    </row>
    <row r="565" spans="1:8" x14ac:dyDescent="0.2">
      <c r="B565" s="1" t="s">
        <v>2417</v>
      </c>
      <c r="C565" s="1"/>
      <c r="D565" s="1"/>
      <c r="E565" s="1"/>
      <c r="F565" s="1"/>
      <c r="G565" s="1"/>
      <c r="H565" s="1"/>
    </row>
    <row r="566" spans="1:8" x14ac:dyDescent="0.2">
      <c r="B566" s="1" t="s">
        <v>2418</v>
      </c>
      <c r="C566" s="1"/>
      <c r="D566" s="1"/>
      <c r="E566" s="1"/>
      <c r="F566" s="1"/>
      <c r="G566" s="1"/>
      <c r="H566" s="1"/>
    </row>
    <row r="567" spans="1:8" x14ac:dyDescent="0.2">
      <c r="B567" s="1" t="s">
        <v>2419</v>
      </c>
      <c r="C567" s="1"/>
      <c r="D567" s="1"/>
      <c r="E567" s="1"/>
      <c r="F567" s="1"/>
      <c r="G567" s="1"/>
      <c r="H567" s="1"/>
    </row>
    <row r="568" spans="1:8" x14ac:dyDescent="0.2">
      <c r="B568" s="1" t="s">
        <v>2420</v>
      </c>
      <c r="C568" s="1"/>
      <c r="D568" s="1"/>
      <c r="E568" s="1"/>
      <c r="F568" s="1"/>
      <c r="G568" s="1"/>
      <c r="H568" s="1"/>
    </row>
    <row r="569" spans="1:8" x14ac:dyDescent="0.2">
      <c r="B569" s="1" t="s">
        <v>2421</v>
      </c>
      <c r="C569" s="1"/>
      <c r="D569" s="1"/>
      <c r="E569" s="1"/>
      <c r="F569" s="366">
        <f>F563*(1+10.3812891%)^(1/12)</f>
        <v>147.15937521562807</v>
      </c>
      <c r="G569" s="1"/>
      <c r="H569" s="1"/>
    </row>
    <row r="570" spans="1:8" ht="17" thickBot="1" x14ac:dyDescent="0.25"/>
    <row r="571" spans="1:8" ht="17" thickBot="1" x14ac:dyDescent="0.25">
      <c r="A571" s="336" t="s">
        <v>2410</v>
      </c>
      <c r="B571" s="369"/>
      <c r="C571" s="369"/>
      <c r="D571" s="370"/>
    </row>
    <row r="573" spans="1:8" x14ac:dyDescent="0.2">
      <c r="B573" s="108" t="s">
        <v>12</v>
      </c>
      <c r="C573" s="108" t="s">
        <v>202</v>
      </c>
      <c r="D573" s="108" t="s">
        <v>203</v>
      </c>
      <c r="E573" s="108" t="s">
        <v>204</v>
      </c>
      <c r="F573" s="108" t="s">
        <v>205</v>
      </c>
      <c r="G573" s="108"/>
      <c r="H573" s="108" t="s">
        <v>206</v>
      </c>
    </row>
    <row r="574" spans="1:8" x14ac:dyDescent="0.2">
      <c r="B574" s="79">
        <v>44562</v>
      </c>
      <c r="C574" s="8">
        <v>0</v>
      </c>
      <c r="D574" s="106"/>
      <c r="E574" s="106"/>
      <c r="F574" s="106"/>
      <c r="G574" s="8"/>
      <c r="H574" s="62">
        <v>150</v>
      </c>
    </row>
    <row r="575" spans="1:8" x14ac:dyDescent="0.2">
      <c r="B575" s="79">
        <v>44651</v>
      </c>
      <c r="C575" s="106">
        <v>1</v>
      </c>
      <c r="D575" s="367">
        <f>8%/4*H574</f>
        <v>3</v>
      </c>
      <c r="E575" s="367">
        <v>0</v>
      </c>
      <c r="F575" s="367">
        <f>D575+E575</f>
        <v>3</v>
      </c>
      <c r="G575" s="8"/>
      <c r="H575" s="62">
        <f t="shared" ref="H575:H586" si="45">H574-E575</f>
        <v>150</v>
      </c>
    </row>
    <row r="576" spans="1:8" x14ac:dyDescent="0.2">
      <c r="B576" s="79">
        <v>44742</v>
      </c>
      <c r="C576" s="106">
        <v>2</v>
      </c>
      <c r="D576" s="367">
        <f t="shared" ref="D576:D586" si="46">8%/4*H575</f>
        <v>3</v>
      </c>
      <c r="E576" s="367">
        <v>0</v>
      </c>
      <c r="F576" s="367">
        <f t="shared" ref="F576:F586" si="47">D576+E576</f>
        <v>3</v>
      </c>
      <c r="G576" s="8"/>
      <c r="H576" s="62">
        <f t="shared" si="45"/>
        <v>150</v>
      </c>
    </row>
    <row r="577" spans="2:8" x14ac:dyDescent="0.2">
      <c r="B577" s="79">
        <v>44834</v>
      </c>
      <c r="C577" s="106">
        <v>3</v>
      </c>
      <c r="D577" s="367">
        <f t="shared" si="46"/>
        <v>3</v>
      </c>
      <c r="E577" s="367">
        <v>0</v>
      </c>
      <c r="F577" s="367">
        <f t="shared" si="47"/>
        <v>3</v>
      </c>
      <c r="G577" s="8"/>
      <c r="H577" s="62">
        <f t="shared" si="45"/>
        <v>150</v>
      </c>
    </row>
    <row r="578" spans="2:8" x14ac:dyDescent="0.2">
      <c r="B578" s="79">
        <v>44926</v>
      </c>
      <c r="C578" s="106">
        <v>4</v>
      </c>
      <c r="D578" s="367">
        <f t="shared" si="46"/>
        <v>3</v>
      </c>
      <c r="E578" s="367">
        <f>150/3</f>
        <v>50</v>
      </c>
      <c r="F578" s="367">
        <f t="shared" si="47"/>
        <v>53</v>
      </c>
      <c r="G578" s="8"/>
      <c r="H578" s="62">
        <f t="shared" si="45"/>
        <v>100</v>
      </c>
    </row>
    <row r="579" spans="2:8" x14ac:dyDescent="0.2">
      <c r="B579" s="79">
        <v>45016</v>
      </c>
      <c r="C579" s="106">
        <v>5</v>
      </c>
      <c r="D579" s="367">
        <f t="shared" si="46"/>
        <v>2</v>
      </c>
      <c r="E579" s="367">
        <v>0</v>
      </c>
      <c r="F579" s="367">
        <f t="shared" si="47"/>
        <v>2</v>
      </c>
      <c r="G579" s="8"/>
      <c r="H579" s="62">
        <f t="shared" si="45"/>
        <v>100</v>
      </c>
    </row>
    <row r="580" spans="2:8" x14ac:dyDescent="0.2">
      <c r="B580" s="79">
        <v>45107</v>
      </c>
      <c r="C580" s="106">
        <v>6</v>
      </c>
      <c r="D580" s="367">
        <f t="shared" si="46"/>
        <v>2</v>
      </c>
      <c r="E580" s="367">
        <v>0</v>
      </c>
      <c r="F580" s="367">
        <f t="shared" si="47"/>
        <v>2</v>
      </c>
      <c r="G580" s="8"/>
      <c r="H580" s="62">
        <f t="shared" si="45"/>
        <v>100</v>
      </c>
    </row>
    <row r="581" spans="2:8" x14ac:dyDescent="0.2">
      <c r="B581" s="79">
        <v>45199</v>
      </c>
      <c r="C581" s="8">
        <v>7</v>
      </c>
      <c r="D581" s="111">
        <f t="shared" si="46"/>
        <v>2</v>
      </c>
      <c r="E581" s="111">
        <v>0</v>
      </c>
      <c r="F581" s="364">
        <f t="shared" si="47"/>
        <v>2</v>
      </c>
      <c r="G581" s="8"/>
      <c r="H581" s="62">
        <f t="shared" si="45"/>
        <v>100</v>
      </c>
    </row>
    <row r="582" spans="2:8" x14ac:dyDescent="0.2">
      <c r="B582" s="79">
        <v>45291</v>
      </c>
      <c r="C582" s="8">
        <v>8</v>
      </c>
      <c r="D582" s="111">
        <f t="shared" si="46"/>
        <v>2</v>
      </c>
      <c r="E582" s="111">
        <f>E578</f>
        <v>50</v>
      </c>
      <c r="F582" s="364">
        <f t="shared" si="47"/>
        <v>52</v>
      </c>
      <c r="G582" s="8"/>
      <c r="H582" s="62">
        <f t="shared" si="45"/>
        <v>50</v>
      </c>
    </row>
    <row r="583" spans="2:8" x14ac:dyDescent="0.2">
      <c r="B583" s="79">
        <v>45382</v>
      </c>
      <c r="C583" s="8">
        <v>9</v>
      </c>
      <c r="D583" s="111">
        <f t="shared" si="46"/>
        <v>1</v>
      </c>
      <c r="E583" s="111">
        <v>0</v>
      </c>
      <c r="F583" s="364">
        <f t="shared" si="47"/>
        <v>1</v>
      </c>
      <c r="G583" s="8"/>
      <c r="H583" s="62">
        <f t="shared" si="45"/>
        <v>50</v>
      </c>
    </row>
    <row r="584" spans="2:8" x14ac:dyDescent="0.2">
      <c r="B584" s="79">
        <v>45473</v>
      </c>
      <c r="C584" s="8">
        <v>10</v>
      </c>
      <c r="D584" s="111">
        <f t="shared" si="46"/>
        <v>1</v>
      </c>
      <c r="E584" s="111">
        <v>0</v>
      </c>
      <c r="F584" s="364">
        <f t="shared" si="47"/>
        <v>1</v>
      </c>
      <c r="G584" s="8"/>
      <c r="H584" s="62">
        <f t="shared" si="45"/>
        <v>50</v>
      </c>
    </row>
    <row r="585" spans="2:8" x14ac:dyDescent="0.2">
      <c r="B585" s="79">
        <v>45565</v>
      </c>
      <c r="C585" s="8">
        <v>11</v>
      </c>
      <c r="D585" s="111">
        <f t="shared" si="46"/>
        <v>1</v>
      </c>
      <c r="E585" s="111">
        <v>0</v>
      </c>
      <c r="F585" s="364">
        <f t="shared" si="47"/>
        <v>1</v>
      </c>
      <c r="G585" s="8"/>
      <c r="H585" s="62">
        <f t="shared" si="45"/>
        <v>50</v>
      </c>
    </row>
    <row r="586" spans="2:8" x14ac:dyDescent="0.2">
      <c r="B586" s="79">
        <v>45657</v>
      </c>
      <c r="C586" s="8">
        <v>12</v>
      </c>
      <c r="D586" s="111">
        <f t="shared" si="46"/>
        <v>1</v>
      </c>
      <c r="E586" s="111">
        <f>E582</f>
        <v>50</v>
      </c>
      <c r="F586" s="364">
        <f t="shared" si="47"/>
        <v>51</v>
      </c>
      <c r="G586" s="8"/>
      <c r="H586" s="62">
        <f t="shared" si="45"/>
        <v>0</v>
      </c>
    </row>
    <row r="588" spans="2:8" x14ac:dyDescent="0.2">
      <c r="B588" s="1" t="s">
        <v>2414</v>
      </c>
      <c r="C588" s="1"/>
      <c r="D588" s="1"/>
      <c r="E588" s="1"/>
      <c r="F588" s="365">
        <f>(1+10.3812891%)^0.25-1</f>
        <v>2.5000000087056273E-2</v>
      </c>
    </row>
    <row r="589" spans="2:8" x14ac:dyDescent="0.2">
      <c r="B589" s="1" t="s">
        <v>2415</v>
      </c>
      <c r="C589" s="1"/>
      <c r="D589" s="1"/>
      <c r="E589" s="1"/>
      <c r="F589" s="366">
        <f>NPV(F588,F581:F586)</f>
        <v>98.14111258962896</v>
      </c>
    </row>
    <row r="591" spans="2:8" x14ac:dyDescent="0.2">
      <c r="B591" s="1" t="s">
        <v>2422</v>
      </c>
    </row>
    <row r="592" spans="2:8" x14ac:dyDescent="0.2">
      <c r="B592" s="1" t="s">
        <v>2423</v>
      </c>
    </row>
    <row r="593" spans="1:9" x14ac:dyDescent="0.2">
      <c r="B593" s="1" t="s">
        <v>2424</v>
      </c>
    </row>
    <row r="594" spans="1:9" ht="17" thickBot="1" x14ac:dyDescent="0.25"/>
    <row r="595" spans="1:9" ht="17" thickBot="1" x14ac:dyDescent="0.25">
      <c r="A595" s="336" t="s">
        <v>2411</v>
      </c>
      <c r="B595" s="369"/>
      <c r="C595" s="369"/>
      <c r="D595" s="370"/>
    </row>
    <row r="597" spans="1:9" x14ac:dyDescent="0.2">
      <c r="B597" s="108" t="s">
        <v>12</v>
      </c>
      <c r="C597" s="108" t="s">
        <v>202</v>
      </c>
      <c r="D597" s="108" t="s">
        <v>203</v>
      </c>
      <c r="E597" s="108" t="s">
        <v>204</v>
      </c>
      <c r="F597" s="108" t="s">
        <v>205</v>
      </c>
      <c r="G597" s="108"/>
      <c r="H597" s="108" t="s">
        <v>206</v>
      </c>
    </row>
    <row r="598" spans="1:9" x14ac:dyDescent="0.2">
      <c r="B598" s="79">
        <v>44562</v>
      </c>
      <c r="C598" s="8">
        <v>0</v>
      </c>
      <c r="D598" s="106"/>
      <c r="E598" s="106"/>
      <c r="F598" s="106"/>
      <c r="G598" s="8"/>
      <c r="H598" s="62">
        <v>150</v>
      </c>
    </row>
    <row r="599" spans="1:9" x14ac:dyDescent="0.2">
      <c r="B599" s="79">
        <v>44651</v>
      </c>
      <c r="C599" s="8">
        <v>1</v>
      </c>
      <c r="D599" s="367">
        <f>8%/4*H598</f>
        <v>3</v>
      </c>
      <c r="E599" s="367">
        <v>0</v>
      </c>
      <c r="F599" s="367">
        <f>D599+E599</f>
        <v>3</v>
      </c>
      <c r="G599" s="8"/>
      <c r="H599" s="62">
        <f t="shared" ref="H599:H610" si="48">H598-E599</f>
        <v>150</v>
      </c>
    </row>
    <row r="600" spans="1:9" x14ac:dyDescent="0.2">
      <c r="B600" s="79">
        <v>44742</v>
      </c>
      <c r="C600" s="8">
        <v>2</v>
      </c>
      <c r="D600" s="367">
        <f t="shared" ref="D600:D610" si="49">8%/4*H599</f>
        <v>3</v>
      </c>
      <c r="E600" s="367">
        <v>0</v>
      </c>
      <c r="F600" s="367">
        <f t="shared" ref="F600:F610" si="50">D600+E600</f>
        <v>3</v>
      </c>
      <c r="G600" s="8"/>
      <c r="H600" s="62">
        <f t="shared" si="48"/>
        <v>150</v>
      </c>
    </row>
    <row r="601" spans="1:9" x14ac:dyDescent="0.2">
      <c r="B601" s="79">
        <v>44834</v>
      </c>
      <c r="C601" s="8">
        <v>3</v>
      </c>
      <c r="D601" s="111">
        <f t="shared" si="49"/>
        <v>3</v>
      </c>
      <c r="E601" s="111">
        <v>0</v>
      </c>
      <c r="F601" s="364">
        <f t="shared" si="50"/>
        <v>3</v>
      </c>
      <c r="G601" s="8"/>
      <c r="H601" s="62">
        <f t="shared" si="48"/>
        <v>150</v>
      </c>
      <c r="I601" s="1" t="s">
        <v>2344</v>
      </c>
    </row>
    <row r="602" spans="1:9" x14ac:dyDescent="0.2">
      <c r="B602" s="79">
        <v>44926</v>
      </c>
      <c r="C602" s="8">
        <v>4</v>
      </c>
      <c r="D602" s="111">
        <f t="shared" si="49"/>
        <v>3</v>
      </c>
      <c r="E602" s="111">
        <f>150/3</f>
        <v>50</v>
      </c>
      <c r="F602" s="364">
        <f t="shared" si="50"/>
        <v>53</v>
      </c>
      <c r="G602" s="8"/>
      <c r="H602" s="62">
        <f t="shared" si="48"/>
        <v>100</v>
      </c>
    </row>
    <row r="603" spans="1:9" x14ac:dyDescent="0.2">
      <c r="B603" s="79">
        <v>45016</v>
      </c>
      <c r="C603" s="8">
        <v>5</v>
      </c>
      <c r="D603" s="111">
        <f t="shared" si="49"/>
        <v>2</v>
      </c>
      <c r="E603" s="111">
        <v>0</v>
      </c>
      <c r="F603" s="364">
        <f t="shared" si="50"/>
        <v>2</v>
      </c>
      <c r="G603" s="8"/>
      <c r="H603" s="62">
        <f t="shared" si="48"/>
        <v>100</v>
      </c>
    </row>
    <row r="604" spans="1:9" x14ac:dyDescent="0.2">
      <c r="B604" s="79">
        <v>45107</v>
      </c>
      <c r="C604" s="8">
        <v>6</v>
      </c>
      <c r="D604" s="111">
        <f t="shared" si="49"/>
        <v>2</v>
      </c>
      <c r="E604" s="111">
        <v>0</v>
      </c>
      <c r="F604" s="364">
        <f t="shared" si="50"/>
        <v>2</v>
      </c>
      <c r="G604" s="8"/>
      <c r="H604" s="62">
        <f t="shared" si="48"/>
        <v>100</v>
      </c>
    </row>
    <row r="605" spans="1:9" x14ac:dyDescent="0.2">
      <c r="B605" s="79">
        <v>45199</v>
      </c>
      <c r="C605" s="8">
        <v>7</v>
      </c>
      <c r="D605" s="111">
        <f t="shared" si="49"/>
        <v>2</v>
      </c>
      <c r="E605" s="111">
        <v>0</v>
      </c>
      <c r="F605" s="364">
        <f t="shared" si="50"/>
        <v>2</v>
      </c>
      <c r="G605" s="8"/>
      <c r="H605" s="62">
        <f t="shared" si="48"/>
        <v>100</v>
      </c>
    </row>
    <row r="606" spans="1:9" x14ac:dyDescent="0.2">
      <c r="B606" s="79">
        <v>45291</v>
      </c>
      <c r="C606" s="8">
        <v>8</v>
      </c>
      <c r="D606" s="111">
        <f t="shared" si="49"/>
        <v>2</v>
      </c>
      <c r="E606" s="111">
        <f>E602</f>
        <v>50</v>
      </c>
      <c r="F606" s="364">
        <f t="shared" si="50"/>
        <v>52</v>
      </c>
      <c r="G606" s="8"/>
      <c r="H606" s="62">
        <f t="shared" si="48"/>
        <v>50</v>
      </c>
    </row>
    <row r="607" spans="1:9" x14ac:dyDescent="0.2">
      <c r="B607" s="79">
        <v>45382</v>
      </c>
      <c r="C607" s="8">
        <v>9</v>
      </c>
      <c r="D607" s="111">
        <f t="shared" si="49"/>
        <v>1</v>
      </c>
      <c r="E607" s="111">
        <v>0</v>
      </c>
      <c r="F607" s="364">
        <f t="shared" si="50"/>
        <v>1</v>
      </c>
      <c r="G607" s="8"/>
      <c r="H607" s="62">
        <f t="shared" si="48"/>
        <v>50</v>
      </c>
    </row>
    <row r="608" spans="1:9" x14ac:dyDescent="0.2">
      <c r="B608" s="79">
        <v>45473</v>
      </c>
      <c r="C608" s="8">
        <v>10</v>
      </c>
      <c r="D608" s="111">
        <f t="shared" si="49"/>
        <v>1</v>
      </c>
      <c r="E608" s="111">
        <v>0</v>
      </c>
      <c r="F608" s="364">
        <f t="shared" si="50"/>
        <v>1</v>
      </c>
      <c r="G608" s="8"/>
      <c r="H608" s="62">
        <f t="shared" si="48"/>
        <v>50</v>
      </c>
    </row>
    <row r="609" spans="2:9" x14ac:dyDescent="0.2">
      <c r="B609" s="79">
        <v>45565</v>
      </c>
      <c r="C609" s="8">
        <v>11</v>
      </c>
      <c r="D609" s="111">
        <f t="shared" si="49"/>
        <v>1</v>
      </c>
      <c r="E609" s="111">
        <v>0</v>
      </c>
      <c r="F609" s="364">
        <f t="shared" si="50"/>
        <v>1</v>
      </c>
      <c r="G609" s="8"/>
      <c r="H609" s="62">
        <f t="shared" si="48"/>
        <v>50</v>
      </c>
    </row>
    <row r="610" spans="2:9" x14ac:dyDescent="0.2">
      <c r="B610" s="79">
        <v>45657</v>
      </c>
      <c r="C610" s="8">
        <v>12</v>
      </c>
      <c r="D610" s="111">
        <f t="shared" si="49"/>
        <v>1</v>
      </c>
      <c r="E610" s="111">
        <f>E606</f>
        <v>50</v>
      </c>
      <c r="F610" s="364">
        <f t="shared" si="50"/>
        <v>51</v>
      </c>
      <c r="G610" s="8"/>
      <c r="H610" s="62">
        <f t="shared" si="48"/>
        <v>0</v>
      </c>
    </row>
    <row r="612" spans="2:9" x14ac:dyDescent="0.2">
      <c r="B612" s="1" t="s">
        <v>2414</v>
      </c>
      <c r="C612" s="1"/>
      <c r="D612" s="1"/>
      <c r="E612" s="1"/>
      <c r="F612" s="365">
        <f>(1+10.3812891%)^0.25-1</f>
        <v>2.5000000087056273E-2</v>
      </c>
    </row>
    <row r="613" spans="2:9" x14ac:dyDescent="0.2">
      <c r="B613" s="1" t="s">
        <v>2415</v>
      </c>
      <c r="C613" s="1"/>
      <c r="D613" s="1"/>
      <c r="E613" s="1"/>
      <c r="F613" s="42">
        <f>NPV(F612,F601:F610)</f>
        <v>145.95309656977435</v>
      </c>
    </row>
    <row r="615" spans="2:9" x14ac:dyDescent="0.2">
      <c r="B615" s="1" t="s">
        <v>2425</v>
      </c>
      <c r="C615" s="1"/>
      <c r="D615" s="1"/>
      <c r="E615" s="1"/>
      <c r="F615" s="1"/>
      <c r="G615" s="1"/>
      <c r="H615" s="1"/>
      <c r="I615" s="1"/>
    </row>
    <row r="616" spans="2:9" x14ac:dyDescent="0.2">
      <c r="B616" s="1" t="s">
        <v>2426</v>
      </c>
      <c r="C616" s="1"/>
      <c r="D616" s="1"/>
      <c r="E616" s="1"/>
      <c r="F616" s="1"/>
      <c r="G616" s="1"/>
      <c r="H616" s="1"/>
      <c r="I616" s="1"/>
    </row>
    <row r="617" spans="2:9" x14ac:dyDescent="0.2">
      <c r="B617" s="1" t="s">
        <v>2427</v>
      </c>
      <c r="C617" s="1"/>
      <c r="D617" s="1"/>
      <c r="E617" s="1"/>
      <c r="F617" s="1"/>
      <c r="G617" s="1"/>
      <c r="H617" s="1"/>
      <c r="I617" s="1"/>
    </row>
    <row r="618" spans="2:9" x14ac:dyDescent="0.2">
      <c r="B618" s="1"/>
      <c r="C618" s="1"/>
      <c r="D618" s="1"/>
      <c r="E618" s="1"/>
      <c r="F618" s="1"/>
      <c r="G618" s="1"/>
      <c r="H618" s="1"/>
      <c r="I618" s="1"/>
    </row>
    <row r="619" spans="2:9" x14ac:dyDescent="0.2">
      <c r="B619" s="1" t="s">
        <v>2428</v>
      </c>
      <c r="F619" s="366">
        <f>F613*(1+10.3812891%)^(3/12)</f>
        <v>149.60192399672485</v>
      </c>
    </row>
  </sheetData>
  <mergeCells count="7">
    <mergeCell ref="C116:H116"/>
    <mergeCell ref="F129:G129"/>
    <mergeCell ref="B224:G224"/>
    <mergeCell ref="C550:H550"/>
    <mergeCell ref="A379:A380"/>
    <mergeCell ref="C433:C434"/>
    <mergeCell ref="F305:H309"/>
  </mergeCells>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FFCA5-50C2-2A45-9B58-86E46B0FBFAD}">
  <dimension ref="A1:M569"/>
  <sheetViews>
    <sheetView rightToLeft="1" topLeftCell="A170" zoomScale="242" zoomScaleNormal="380" workbookViewId="0">
      <selection activeCell="D182" sqref="D182"/>
    </sheetView>
  </sheetViews>
  <sheetFormatPr baseColWidth="10" defaultColWidth="11" defaultRowHeight="16" x14ac:dyDescent="0.2"/>
  <cols>
    <col min="2" max="2" width="12.6640625" bestFit="1" customWidth="1"/>
    <col min="3" max="6" width="11" bestFit="1" customWidth="1"/>
    <col min="8" max="8" width="11" bestFit="1" customWidth="1"/>
  </cols>
  <sheetData>
    <row r="1" spans="1:8" s="1" customFormat="1" x14ac:dyDescent="0.2">
      <c r="A1" s="3" t="s">
        <v>2393</v>
      </c>
      <c r="B1" s="2"/>
      <c r="C1" s="2"/>
      <c r="D1" s="2"/>
      <c r="E1" s="2"/>
      <c r="F1" s="2"/>
      <c r="G1" s="2"/>
      <c r="H1" s="46">
        <v>45614</v>
      </c>
    </row>
    <row r="2" spans="1:8" ht="17" thickBot="1" x14ac:dyDescent="0.25"/>
    <row r="3" spans="1:8" x14ac:dyDescent="0.2">
      <c r="A3" s="16" t="s">
        <v>2448</v>
      </c>
      <c r="B3" s="17"/>
      <c r="C3" s="17"/>
      <c r="D3" s="17"/>
      <c r="E3" s="17"/>
      <c r="F3" s="17"/>
      <c r="G3" s="17"/>
      <c r="H3" s="18"/>
    </row>
    <row r="4" spans="1:8" x14ac:dyDescent="0.2">
      <c r="A4" s="19" t="s">
        <v>2394</v>
      </c>
      <c r="B4" s="1"/>
      <c r="C4" s="1"/>
      <c r="D4" s="1"/>
      <c r="E4" s="1"/>
      <c r="F4" s="1"/>
      <c r="G4" s="1"/>
      <c r="H4" s="20"/>
    </row>
    <row r="5" spans="1:8" ht="17" thickBot="1" x14ac:dyDescent="0.25">
      <c r="A5" s="21" t="s">
        <v>2395</v>
      </c>
      <c r="B5" s="22"/>
      <c r="C5" s="22"/>
      <c r="D5" s="22"/>
      <c r="E5" s="22"/>
      <c r="F5" s="22"/>
      <c r="G5" s="22"/>
      <c r="H5" s="23"/>
    </row>
    <row r="6" spans="1:8" s="8" customFormat="1" x14ac:dyDescent="0.2"/>
    <row r="7" spans="1:8" s="1" customFormat="1" x14ac:dyDescent="0.2">
      <c r="A7" s="482" t="s">
        <v>3292</v>
      </c>
      <c r="B7" s="403"/>
      <c r="C7" s="403"/>
      <c r="D7" s="403"/>
      <c r="E7" s="403"/>
      <c r="F7" s="403"/>
      <c r="G7" s="403"/>
      <c r="H7" s="403"/>
    </row>
    <row r="8" spans="1:8" s="1" customFormat="1" x14ac:dyDescent="0.2">
      <c r="A8" s="1" t="s">
        <v>3293</v>
      </c>
    </row>
    <row r="9" spans="1:8" s="1" customFormat="1" x14ac:dyDescent="0.2">
      <c r="A9" s="1" t="s">
        <v>3294</v>
      </c>
    </row>
    <row r="10" spans="1:8" s="1" customFormat="1" x14ac:dyDescent="0.2">
      <c r="A10" s="1" t="s">
        <v>3295</v>
      </c>
    </row>
    <row r="11" spans="1:8" s="1" customFormat="1" x14ac:dyDescent="0.2"/>
    <row r="12" spans="1:8" s="1" customFormat="1" x14ac:dyDescent="0.2">
      <c r="A12" s="1" t="s">
        <v>3296</v>
      </c>
    </row>
    <row r="13" spans="1:8" s="1" customFormat="1" x14ac:dyDescent="0.2">
      <c r="A13" s="1" t="s">
        <v>3297</v>
      </c>
    </row>
    <row r="14" spans="1:8" s="1" customFormat="1" x14ac:dyDescent="0.2"/>
    <row r="15" spans="1:8" s="1" customFormat="1" x14ac:dyDescent="0.2">
      <c r="A15" s="1" t="s">
        <v>3298</v>
      </c>
    </row>
    <row r="16" spans="1:8" s="1" customFormat="1" x14ac:dyDescent="0.2">
      <c r="A16" s="1" t="s">
        <v>3299</v>
      </c>
    </row>
    <row r="17" spans="1:8" s="1" customFormat="1" x14ac:dyDescent="0.2"/>
    <row r="18" spans="1:8" s="1" customFormat="1" x14ac:dyDescent="0.2">
      <c r="A18" s="81" t="s">
        <v>3300</v>
      </c>
      <c r="B18" s="38"/>
      <c r="C18" s="38"/>
      <c r="D18" s="38"/>
      <c r="E18" s="38"/>
      <c r="F18" s="45"/>
      <c r="G18" s="45"/>
      <c r="H18" s="38"/>
    </row>
    <row r="19" spans="1:8" s="1" customFormat="1" x14ac:dyDescent="0.2">
      <c r="A19" s="1" t="s">
        <v>3301</v>
      </c>
    </row>
    <row r="20" spans="1:8" s="1" customFormat="1" x14ac:dyDescent="0.2">
      <c r="A20" s="1" t="s">
        <v>253</v>
      </c>
    </row>
    <row r="21" spans="1:8" s="1" customFormat="1" x14ac:dyDescent="0.2">
      <c r="A21" s="1" t="s">
        <v>254</v>
      </c>
    </row>
    <row r="22" spans="1:8" s="1" customFormat="1" x14ac:dyDescent="0.2">
      <c r="A22" s="1" t="s">
        <v>255</v>
      </c>
    </row>
    <row r="23" spans="1:8" s="1" customFormat="1" x14ac:dyDescent="0.2"/>
    <row r="24" spans="1:8" s="1" customFormat="1" x14ac:dyDescent="0.2">
      <c r="A24" s="1" t="s">
        <v>256</v>
      </c>
      <c r="D24" s="389" t="s">
        <v>2242</v>
      </c>
      <c r="E24" s="389" t="s">
        <v>2238</v>
      </c>
      <c r="F24" s="389" t="s">
        <v>2244</v>
      </c>
      <c r="G24" s="180"/>
      <c r="H24" s="389" t="s">
        <v>2491</v>
      </c>
    </row>
    <row r="25" spans="1:8" s="1" customFormat="1" x14ac:dyDescent="0.2">
      <c r="D25" s="389" t="s">
        <v>2492</v>
      </c>
      <c r="E25" s="389" t="s">
        <v>2488</v>
      </c>
      <c r="F25" s="389" t="s">
        <v>2496</v>
      </c>
      <c r="G25" s="180"/>
      <c r="H25" s="389" t="s">
        <v>2492</v>
      </c>
    </row>
    <row r="26" spans="1:8" s="1" customFormat="1" x14ac:dyDescent="0.2">
      <c r="D26" s="389" t="s">
        <v>2493</v>
      </c>
      <c r="E26" s="389" t="s">
        <v>2489</v>
      </c>
      <c r="F26" s="389" t="s">
        <v>2243</v>
      </c>
      <c r="G26" s="180"/>
      <c r="H26" s="389" t="s">
        <v>2493</v>
      </c>
    </row>
    <row r="27" spans="1:8" s="1" customFormat="1" x14ac:dyDescent="0.2">
      <c r="D27" s="389" t="s">
        <v>2495</v>
      </c>
      <c r="E27" s="389" t="s">
        <v>2490</v>
      </c>
      <c r="F27" s="389" t="s">
        <v>2497</v>
      </c>
      <c r="G27" s="180"/>
      <c r="H27" s="389" t="s">
        <v>2494</v>
      </c>
    </row>
    <row r="28" spans="1:8" s="1" customFormat="1" x14ac:dyDescent="0.2">
      <c r="B28" s="1" t="s">
        <v>12</v>
      </c>
      <c r="C28" s="1" t="s">
        <v>202</v>
      </c>
      <c r="D28" s="1" t="s">
        <v>203</v>
      </c>
      <c r="E28" s="1" t="s">
        <v>257</v>
      </c>
      <c r="F28" s="1" t="s">
        <v>205</v>
      </c>
      <c r="H28" s="37" t="s">
        <v>206</v>
      </c>
    </row>
    <row r="29" spans="1:8" s="1" customFormat="1" x14ac:dyDescent="0.2">
      <c r="A29" s="8" t="s">
        <v>2312</v>
      </c>
      <c r="B29" s="79">
        <v>44197</v>
      </c>
      <c r="C29" s="62">
        <v>0</v>
      </c>
      <c r="D29" s="61"/>
      <c r="E29" s="61"/>
      <c r="F29" s="62">
        <v>-105</v>
      </c>
      <c r="G29" s="59"/>
      <c r="H29" s="62">
        <v>100</v>
      </c>
    </row>
    <row r="30" spans="1:8" s="1" customFormat="1" x14ac:dyDescent="0.2">
      <c r="B30" s="79">
        <v>44286</v>
      </c>
      <c r="C30" s="62">
        <f>C29+1</f>
        <v>1</v>
      </c>
      <c r="D30" s="62">
        <f>8%/4*H29</f>
        <v>2</v>
      </c>
      <c r="E30" s="62"/>
      <c r="F30" s="62">
        <f>D30+E30</f>
        <v>2</v>
      </c>
      <c r="G30" s="59"/>
      <c r="H30" s="62">
        <f>H29-E30</f>
        <v>100</v>
      </c>
    </row>
    <row r="31" spans="1:8" s="1" customFormat="1" x14ac:dyDescent="0.2">
      <c r="B31" s="79">
        <v>44377</v>
      </c>
      <c r="C31" s="62">
        <f t="shared" ref="C31:C45" si="0">C30+1</f>
        <v>2</v>
      </c>
      <c r="D31" s="62">
        <f t="shared" ref="D31:D45" si="1">8%/4*H30</f>
        <v>2</v>
      </c>
      <c r="E31" s="62"/>
      <c r="F31" s="62">
        <f t="shared" ref="F31:F45" si="2">D31+E31</f>
        <v>2</v>
      </c>
      <c r="G31" s="59"/>
      <c r="H31" s="62">
        <f t="shared" ref="H31:H45" si="3">H30-E31</f>
        <v>100</v>
      </c>
    </row>
    <row r="32" spans="1:8" s="1" customFormat="1" x14ac:dyDescent="0.2">
      <c r="B32" s="79">
        <v>44469</v>
      </c>
      <c r="C32" s="62">
        <f t="shared" si="0"/>
        <v>3</v>
      </c>
      <c r="D32" s="62">
        <f t="shared" si="1"/>
        <v>2</v>
      </c>
      <c r="E32" s="62"/>
      <c r="F32" s="62">
        <f t="shared" si="2"/>
        <v>2</v>
      </c>
      <c r="G32" s="59"/>
      <c r="H32" s="62">
        <f t="shared" si="3"/>
        <v>100</v>
      </c>
    </row>
    <row r="33" spans="1:8" s="1" customFormat="1" x14ac:dyDescent="0.2">
      <c r="B33" s="79">
        <v>44561</v>
      </c>
      <c r="C33" s="62">
        <f t="shared" si="0"/>
        <v>4</v>
      </c>
      <c r="D33" s="62">
        <f t="shared" si="1"/>
        <v>2</v>
      </c>
      <c r="E33" s="62"/>
      <c r="F33" s="62">
        <f t="shared" si="2"/>
        <v>2</v>
      </c>
      <c r="G33" s="59"/>
      <c r="H33" s="62">
        <f t="shared" si="3"/>
        <v>100</v>
      </c>
    </row>
    <row r="34" spans="1:8" s="1" customFormat="1" x14ac:dyDescent="0.2">
      <c r="B34" s="79">
        <v>44651</v>
      </c>
      <c r="C34" s="62">
        <f t="shared" si="0"/>
        <v>5</v>
      </c>
      <c r="D34" s="62">
        <f t="shared" si="1"/>
        <v>2</v>
      </c>
      <c r="E34" s="62"/>
      <c r="F34" s="62">
        <f t="shared" si="2"/>
        <v>2</v>
      </c>
      <c r="G34" s="59"/>
      <c r="H34" s="62">
        <f t="shared" si="3"/>
        <v>100</v>
      </c>
    </row>
    <row r="35" spans="1:8" s="1" customFormat="1" x14ac:dyDescent="0.2">
      <c r="B35" s="79">
        <v>44742</v>
      </c>
      <c r="C35" s="62">
        <f t="shared" si="0"/>
        <v>6</v>
      </c>
      <c r="D35" s="62">
        <f t="shared" si="1"/>
        <v>2</v>
      </c>
      <c r="E35" s="62"/>
      <c r="F35" s="62">
        <f t="shared" si="2"/>
        <v>2</v>
      </c>
      <c r="G35" s="59"/>
      <c r="H35" s="62">
        <f t="shared" si="3"/>
        <v>100</v>
      </c>
    </row>
    <row r="36" spans="1:8" s="1" customFormat="1" x14ac:dyDescent="0.2">
      <c r="B36" s="79">
        <v>44834</v>
      </c>
      <c r="C36" s="62">
        <f t="shared" si="0"/>
        <v>7</v>
      </c>
      <c r="D36" s="62">
        <f t="shared" si="1"/>
        <v>2</v>
      </c>
      <c r="E36" s="62"/>
      <c r="F36" s="62">
        <f t="shared" si="2"/>
        <v>2</v>
      </c>
      <c r="G36" s="59"/>
      <c r="H36" s="62">
        <f t="shared" si="3"/>
        <v>100</v>
      </c>
    </row>
    <row r="37" spans="1:8" s="1" customFormat="1" x14ac:dyDescent="0.2">
      <c r="B37" s="79">
        <v>44926</v>
      </c>
      <c r="C37" s="62">
        <f t="shared" si="0"/>
        <v>8</v>
      </c>
      <c r="D37" s="62">
        <f t="shared" si="1"/>
        <v>2</v>
      </c>
      <c r="E37" s="62"/>
      <c r="F37" s="62">
        <f t="shared" si="2"/>
        <v>2</v>
      </c>
      <c r="G37" s="59"/>
      <c r="H37" s="62">
        <f t="shared" si="3"/>
        <v>100</v>
      </c>
    </row>
    <row r="38" spans="1:8" s="1" customFormat="1" x14ac:dyDescent="0.2">
      <c r="B38" s="79">
        <v>45016</v>
      </c>
      <c r="C38" s="62">
        <f t="shared" si="0"/>
        <v>9</v>
      </c>
      <c r="D38" s="62">
        <f t="shared" si="1"/>
        <v>2</v>
      </c>
      <c r="E38" s="62"/>
      <c r="F38" s="62">
        <f t="shared" si="2"/>
        <v>2</v>
      </c>
      <c r="G38" s="59"/>
      <c r="H38" s="62">
        <f t="shared" si="3"/>
        <v>100</v>
      </c>
    </row>
    <row r="39" spans="1:8" s="1" customFormat="1" x14ac:dyDescent="0.2">
      <c r="B39" s="79">
        <v>45107</v>
      </c>
      <c r="C39" s="62">
        <f t="shared" si="0"/>
        <v>10</v>
      </c>
      <c r="D39" s="62">
        <f t="shared" si="1"/>
        <v>2</v>
      </c>
      <c r="E39" s="62"/>
      <c r="F39" s="62">
        <f t="shared" si="2"/>
        <v>2</v>
      </c>
      <c r="G39" s="59"/>
      <c r="H39" s="62">
        <f t="shared" si="3"/>
        <v>100</v>
      </c>
    </row>
    <row r="40" spans="1:8" s="1" customFormat="1" x14ac:dyDescent="0.2">
      <c r="B40" s="79">
        <v>45199</v>
      </c>
      <c r="C40" s="62">
        <f t="shared" si="0"/>
        <v>11</v>
      </c>
      <c r="D40" s="62">
        <f t="shared" si="1"/>
        <v>2</v>
      </c>
      <c r="E40" s="62"/>
      <c r="F40" s="62">
        <f t="shared" si="2"/>
        <v>2</v>
      </c>
      <c r="G40" s="59"/>
      <c r="H40" s="62">
        <f t="shared" si="3"/>
        <v>100</v>
      </c>
    </row>
    <row r="41" spans="1:8" s="1" customFormat="1" x14ac:dyDescent="0.2">
      <c r="A41" s="1" t="s">
        <v>2452</v>
      </c>
      <c r="B41" s="80">
        <v>45291</v>
      </c>
      <c r="C41" s="62">
        <f t="shared" si="0"/>
        <v>12</v>
      </c>
      <c r="D41" s="62">
        <f t="shared" si="1"/>
        <v>2</v>
      </c>
      <c r="E41" s="62">
        <f>100/2</f>
        <v>50</v>
      </c>
      <c r="F41" s="62">
        <f t="shared" si="2"/>
        <v>52</v>
      </c>
      <c r="G41" s="59"/>
      <c r="H41" s="62">
        <f t="shared" si="3"/>
        <v>50</v>
      </c>
    </row>
    <row r="42" spans="1:8" s="1" customFormat="1" x14ac:dyDescent="0.2">
      <c r="B42" s="79">
        <v>45382</v>
      </c>
      <c r="C42" s="62">
        <f t="shared" si="0"/>
        <v>13</v>
      </c>
      <c r="D42" s="62">
        <f t="shared" si="1"/>
        <v>1</v>
      </c>
      <c r="E42" s="62"/>
      <c r="F42" s="62">
        <f t="shared" si="2"/>
        <v>1</v>
      </c>
      <c r="G42" s="59"/>
      <c r="H42" s="62">
        <f t="shared" si="3"/>
        <v>50</v>
      </c>
    </row>
    <row r="43" spans="1:8" s="1" customFormat="1" x14ac:dyDescent="0.2">
      <c r="B43" s="79">
        <v>45473</v>
      </c>
      <c r="C43" s="62">
        <f t="shared" si="0"/>
        <v>14</v>
      </c>
      <c r="D43" s="62">
        <f t="shared" si="1"/>
        <v>1</v>
      </c>
      <c r="E43" s="62"/>
      <c r="F43" s="62">
        <f t="shared" si="2"/>
        <v>1</v>
      </c>
      <c r="G43" s="59"/>
      <c r="H43" s="62">
        <f t="shared" si="3"/>
        <v>50</v>
      </c>
    </row>
    <row r="44" spans="1:8" s="1" customFormat="1" x14ac:dyDescent="0.2">
      <c r="B44" s="79">
        <v>45565</v>
      </c>
      <c r="C44" s="62">
        <f t="shared" si="0"/>
        <v>15</v>
      </c>
      <c r="D44" s="62">
        <f t="shared" si="1"/>
        <v>1</v>
      </c>
      <c r="E44" s="62"/>
      <c r="F44" s="62">
        <f t="shared" si="2"/>
        <v>1</v>
      </c>
      <c r="G44" s="59"/>
      <c r="H44" s="62">
        <f t="shared" si="3"/>
        <v>50</v>
      </c>
    </row>
    <row r="45" spans="1:8" s="1" customFormat="1" x14ac:dyDescent="0.2">
      <c r="A45" s="1" t="s">
        <v>2452</v>
      </c>
      <c r="B45" s="80">
        <v>45657</v>
      </c>
      <c r="C45" s="62">
        <f t="shared" si="0"/>
        <v>16</v>
      </c>
      <c r="D45" s="62">
        <f t="shared" si="1"/>
        <v>1</v>
      </c>
      <c r="E45" s="62">
        <f>100/2</f>
        <v>50</v>
      </c>
      <c r="F45" s="62">
        <f t="shared" si="2"/>
        <v>51</v>
      </c>
      <c r="G45" s="59"/>
      <c r="H45" s="62">
        <f t="shared" si="3"/>
        <v>0</v>
      </c>
    </row>
    <row r="46" spans="1:8" s="1" customFormat="1" x14ac:dyDescent="0.2"/>
    <row r="47" spans="1:8" s="1" customFormat="1" x14ac:dyDescent="0.2">
      <c r="B47" s="1" t="s">
        <v>258</v>
      </c>
      <c r="F47" s="44">
        <f>IRR(F29:F45)</f>
        <v>1.5977773014628882E-2</v>
      </c>
    </row>
    <row r="48" spans="1:8" s="1" customFormat="1" ht="17" thickBot="1" x14ac:dyDescent="0.25">
      <c r="F48" s="43"/>
    </row>
    <row r="49" spans="1:8" s="1" customFormat="1" x14ac:dyDescent="0.2">
      <c r="B49" s="1" t="s">
        <v>259</v>
      </c>
      <c r="F49" s="483">
        <f>(1+F47)^4-1</f>
        <v>6.5459208427661286E-2</v>
      </c>
    </row>
    <row r="50" spans="1:8" s="1" customFormat="1" ht="17" thickBot="1" x14ac:dyDescent="0.25">
      <c r="F50" s="484" t="s">
        <v>2280</v>
      </c>
    </row>
    <row r="51" spans="1:8" s="1" customFormat="1" x14ac:dyDescent="0.2">
      <c r="A51" s="1" t="s">
        <v>260</v>
      </c>
      <c r="F51" s="43"/>
    </row>
    <row r="52" spans="1:8" s="1" customFormat="1" x14ac:dyDescent="0.2">
      <c r="A52" s="1" t="s">
        <v>261</v>
      </c>
      <c r="F52" s="43"/>
    </row>
    <row r="53" spans="1:8" s="1" customFormat="1" x14ac:dyDescent="0.2">
      <c r="A53" s="1" t="s">
        <v>262</v>
      </c>
      <c r="F53" s="43"/>
    </row>
    <row r="54" spans="1:8" s="1" customFormat="1" x14ac:dyDescent="0.2">
      <c r="A54" s="1" t="s">
        <v>263</v>
      </c>
      <c r="F54" s="43"/>
    </row>
    <row r="55" spans="1:8" s="1" customFormat="1" x14ac:dyDescent="0.2">
      <c r="A55" s="1" t="s">
        <v>264</v>
      </c>
      <c r="F55" s="43"/>
    </row>
    <row r="56" spans="1:8" s="1" customFormat="1" x14ac:dyDescent="0.2">
      <c r="A56" s="1" t="s">
        <v>265</v>
      </c>
      <c r="F56" s="43"/>
    </row>
    <row r="57" spans="1:8" s="1" customFormat="1" x14ac:dyDescent="0.2">
      <c r="A57" s="1" t="s">
        <v>266</v>
      </c>
    </row>
    <row r="58" spans="1:8" s="1" customFormat="1" x14ac:dyDescent="0.2"/>
    <row r="59" spans="1:8" s="1" customFormat="1" x14ac:dyDescent="0.2">
      <c r="A59" s="81" t="s">
        <v>3305</v>
      </c>
      <c r="B59" s="38"/>
      <c r="C59" s="38"/>
      <c r="D59" s="38"/>
      <c r="E59" s="38"/>
      <c r="F59" s="38"/>
      <c r="G59" s="45" t="s">
        <v>2482</v>
      </c>
      <c r="H59" s="38"/>
    </row>
    <row r="60" spans="1:8" s="1" customFormat="1" x14ac:dyDescent="0.2">
      <c r="A60" s="1" t="s">
        <v>3302</v>
      </c>
    </row>
    <row r="61" spans="1:8" s="1" customFormat="1" x14ac:dyDescent="0.2">
      <c r="A61" s="1" t="s">
        <v>2501</v>
      </c>
    </row>
    <row r="62" spans="1:8" s="1" customFormat="1" x14ac:dyDescent="0.2">
      <c r="A62" s="1" t="s">
        <v>267</v>
      </c>
    </row>
    <row r="63" spans="1:8" s="1" customFormat="1" x14ac:dyDescent="0.2">
      <c r="A63" s="1" t="s">
        <v>268</v>
      </c>
    </row>
    <row r="64" spans="1:8" s="1" customFormat="1" x14ac:dyDescent="0.2"/>
    <row r="65" spans="1:8" s="1" customFormat="1" x14ac:dyDescent="0.2">
      <c r="A65" s="4" t="s">
        <v>198</v>
      </c>
    </row>
    <row r="66" spans="1:8" s="1" customFormat="1" x14ac:dyDescent="0.2"/>
    <row r="67" spans="1:8" s="1" customFormat="1" x14ac:dyDescent="0.2">
      <c r="A67" s="1" t="s">
        <v>269</v>
      </c>
    </row>
    <row r="68" spans="1:8" s="1" customFormat="1" x14ac:dyDescent="0.2">
      <c r="A68" s="1" t="s">
        <v>270</v>
      </c>
    </row>
    <row r="69" spans="1:8" s="1" customFormat="1" x14ac:dyDescent="0.2">
      <c r="A69" s="1" t="s">
        <v>271</v>
      </c>
    </row>
    <row r="70" spans="1:8" s="1" customFormat="1" x14ac:dyDescent="0.2">
      <c r="A70" s="1" t="s">
        <v>272</v>
      </c>
    </row>
    <row r="71" spans="1:8" s="1" customFormat="1" x14ac:dyDescent="0.2">
      <c r="A71" s="1" t="s">
        <v>273</v>
      </c>
    </row>
    <row r="72" spans="1:8" s="1" customFormat="1" x14ac:dyDescent="0.2"/>
    <row r="73" spans="1:8" s="1" customFormat="1" x14ac:dyDescent="0.2">
      <c r="B73" s="25" t="s">
        <v>12</v>
      </c>
      <c r="C73" s="25" t="s">
        <v>202</v>
      </c>
      <c r="D73" s="25" t="s">
        <v>203</v>
      </c>
      <c r="E73" s="25" t="s">
        <v>274</v>
      </c>
      <c r="F73" s="25" t="s">
        <v>205</v>
      </c>
      <c r="G73" s="25"/>
      <c r="H73" s="25" t="s">
        <v>206</v>
      </c>
    </row>
    <row r="74" spans="1:8" s="1" customFormat="1" x14ac:dyDescent="0.2">
      <c r="A74" s="1" t="s">
        <v>275</v>
      </c>
      <c r="B74" s="79">
        <v>44197</v>
      </c>
      <c r="C74" s="62">
        <v>0</v>
      </c>
      <c r="D74" s="60"/>
      <c r="E74" s="60"/>
      <c r="F74" s="60"/>
      <c r="G74" s="60"/>
      <c r="H74" s="60"/>
    </row>
    <row r="75" spans="1:8" s="1" customFormat="1" x14ac:dyDescent="0.2">
      <c r="A75" s="1" t="s">
        <v>275</v>
      </c>
      <c r="B75" s="79">
        <v>44286</v>
      </c>
      <c r="C75" s="62">
        <v>1</v>
      </c>
      <c r="D75" s="60"/>
      <c r="E75" s="60"/>
      <c r="F75" s="60"/>
      <c r="G75" s="60"/>
      <c r="H75" s="60"/>
    </row>
    <row r="76" spans="1:8" s="7" customFormat="1" x14ac:dyDescent="0.2">
      <c r="A76" s="64" t="s">
        <v>276</v>
      </c>
      <c r="B76" s="80">
        <v>44287</v>
      </c>
      <c r="C76" s="61"/>
      <c r="D76" s="60"/>
      <c r="E76" s="60"/>
      <c r="F76" s="62">
        <v>-104</v>
      </c>
      <c r="H76" s="62">
        <v>100</v>
      </c>
    </row>
    <row r="77" spans="1:8" s="1" customFormat="1" x14ac:dyDescent="0.2">
      <c r="B77" s="79">
        <v>44377</v>
      </c>
      <c r="C77" s="62">
        <f>C75+1</f>
        <v>2</v>
      </c>
      <c r="D77" s="62">
        <f>8%/4*H76</f>
        <v>2</v>
      </c>
      <c r="E77" s="8"/>
      <c r="F77" s="62">
        <f>D77+E77</f>
        <v>2</v>
      </c>
      <c r="G77" s="8"/>
      <c r="H77" s="62">
        <f>H76-E77</f>
        <v>100</v>
      </c>
    </row>
    <row r="78" spans="1:8" s="1" customFormat="1" x14ac:dyDescent="0.2">
      <c r="B78" s="79">
        <v>44469</v>
      </c>
      <c r="C78" s="62">
        <f>C77+1</f>
        <v>3</v>
      </c>
      <c r="D78" s="62">
        <f t="shared" ref="D78:D91" si="4">8%/4*H77</f>
        <v>2</v>
      </c>
      <c r="E78" s="8"/>
      <c r="F78" s="62">
        <f t="shared" ref="F78:F91" si="5">D78+E78</f>
        <v>2</v>
      </c>
      <c r="G78" s="8"/>
      <c r="H78" s="62">
        <f t="shared" ref="H78:H91" si="6">H77-E78</f>
        <v>100</v>
      </c>
    </row>
    <row r="79" spans="1:8" s="1" customFormat="1" x14ac:dyDescent="0.2">
      <c r="B79" s="79">
        <v>44561</v>
      </c>
      <c r="C79" s="62">
        <f t="shared" ref="C79:C91" si="7">C78+1</f>
        <v>4</v>
      </c>
      <c r="D79" s="62">
        <f t="shared" si="4"/>
        <v>2</v>
      </c>
      <c r="E79" s="8"/>
      <c r="F79" s="62">
        <f t="shared" si="5"/>
        <v>2</v>
      </c>
      <c r="G79" s="8"/>
      <c r="H79" s="62">
        <f t="shared" si="6"/>
        <v>100</v>
      </c>
    </row>
    <row r="80" spans="1:8" s="1" customFormat="1" x14ac:dyDescent="0.2">
      <c r="B80" s="79">
        <v>44651</v>
      </c>
      <c r="C80" s="62">
        <f t="shared" si="7"/>
        <v>5</v>
      </c>
      <c r="D80" s="62">
        <f t="shared" si="4"/>
        <v>2</v>
      </c>
      <c r="E80" s="8"/>
      <c r="F80" s="62">
        <f t="shared" si="5"/>
        <v>2</v>
      </c>
      <c r="G80" s="8"/>
      <c r="H80" s="62">
        <f t="shared" si="6"/>
        <v>100</v>
      </c>
    </row>
    <row r="81" spans="1:8" s="1" customFormat="1" x14ac:dyDescent="0.2">
      <c r="B81" s="79">
        <v>44742</v>
      </c>
      <c r="C81" s="62">
        <f t="shared" si="7"/>
        <v>6</v>
      </c>
      <c r="D81" s="62">
        <f t="shared" si="4"/>
        <v>2</v>
      </c>
      <c r="E81" s="8"/>
      <c r="F81" s="62">
        <f t="shared" si="5"/>
        <v>2</v>
      </c>
      <c r="G81" s="8"/>
      <c r="H81" s="62">
        <f t="shared" si="6"/>
        <v>100</v>
      </c>
    </row>
    <row r="82" spans="1:8" s="1" customFormat="1" x14ac:dyDescent="0.2">
      <c r="B82" s="79">
        <v>44834</v>
      </c>
      <c r="C82" s="62">
        <f t="shared" si="7"/>
        <v>7</v>
      </c>
      <c r="D82" s="62">
        <f t="shared" si="4"/>
        <v>2</v>
      </c>
      <c r="E82" s="8"/>
      <c r="F82" s="62">
        <f t="shared" si="5"/>
        <v>2</v>
      </c>
      <c r="G82" s="8"/>
      <c r="H82" s="62">
        <f t="shared" si="6"/>
        <v>100</v>
      </c>
    </row>
    <row r="83" spans="1:8" s="1" customFormat="1" x14ac:dyDescent="0.2">
      <c r="B83" s="79">
        <v>44926</v>
      </c>
      <c r="C83" s="62">
        <f t="shared" si="7"/>
        <v>8</v>
      </c>
      <c r="D83" s="62">
        <f t="shared" si="4"/>
        <v>2</v>
      </c>
      <c r="E83" s="8"/>
      <c r="F83" s="62">
        <f t="shared" si="5"/>
        <v>2</v>
      </c>
      <c r="G83" s="8"/>
      <c r="H83" s="62">
        <f t="shared" si="6"/>
        <v>100</v>
      </c>
    </row>
    <row r="84" spans="1:8" s="1" customFormat="1" x14ac:dyDescent="0.2">
      <c r="B84" s="79">
        <v>45016</v>
      </c>
      <c r="C84" s="62">
        <f t="shared" si="7"/>
        <v>9</v>
      </c>
      <c r="D84" s="62">
        <f t="shared" si="4"/>
        <v>2</v>
      </c>
      <c r="E84" s="8"/>
      <c r="F84" s="62">
        <f t="shared" si="5"/>
        <v>2</v>
      </c>
      <c r="G84" s="8"/>
      <c r="H84" s="62">
        <f t="shared" si="6"/>
        <v>100</v>
      </c>
    </row>
    <row r="85" spans="1:8" s="1" customFormat="1" x14ac:dyDescent="0.2">
      <c r="B85" s="79">
        <v>45107</v>
      </c>
      <c r="C85" s="62">
        <f t="shared" si="7"/>
        <v>10</v>
      </c>
      <c r="D85" s="62">
        <f t="shared" si="4"/>
        <v>2</v>
      </c>
      <c r="E85" s="8"/>
      <c r="F85" s="62">
        <f t="shared" si="5"/>
        <v>2</v>
      </c>
      <c r="G85" s="8"/>
      <c r="H85" s="62">
        <f t="shared" si="6"/>
        <v>100</v>
      </c>
    </row>
    <row r="86" spans="1:8" s="1" customFormat="1" x14ac:dyDescent="0.2">
      <c r="B86" s="79">
        <v>45199</v>
      </c>
      <c r="C86" s="62">
        <f t="shared" si="7"/>
        <v>11</v>
      </c>
      <c r="D86" s="62">
        <f t="shared" si="4"/>
        <v>2</v>
      </c>
      <c r="E86" s="8"/>
      <c r="F86" s="62">
        <f t="shared" si="5"/>
        <v>2</v>
      </c>
      <c r="G86" s="8"/>
      <c r="H86" s="62">
        <f t="shared" si="6"/>
        <v>100</v>
      </c>
    </row>
    <row r="87" spans="1:8" s="1" customFormat="1" x14ac:dyDescent="0.2">
      <c r="A87" s="8" t="s">
        <v>277</v>
      </c>
      <c r="B87" s="79">
        <v>45291</v>
      </c>
      <c r="C87" s="62">
        <f t="shared" si="7"/>
        <v>12</v>
      </c>
      <c r="D87" s="62">
        <f t="shared" si="4"/>
        <v>2</v>
      </c>
      <c r="E87" s="62">
        <v>50</v>
      </c>
      <c r="F87" s="62">
        <f t="shared" si="5"/>
        <v>52</v>
      </c>
      <c r="G87" s="8"/>
      <c r="H87" s="62">
        <f t="shared" si="6"/>
        <v>50</v>
      </c>
    </row>
    <row r="88" spans="1:8" s="1" customFormat="1" x14ac:dyDescent="0.2">
      <c r="B88" s="79">
        <v>45016</v>
      </c>
      <c r="C88" s="62">
        <f t="shared" si="7"/>
        <v>13</v>
      </c>
      <c r="D88" s="62">
        <f t="shared" si="4"/>
        <v>1</v>
      </c>
      <c r="E88" s="8"/>
      <c r="F88" s="62">
        <f t="shared" si="5"/>
        <v>1</v>
      </c>
      <c r="G88" s="8"/>
      <c r="H88" s="62">
        <f t="shared" si="6"/>
        <v>50</v>
      </c>
    </row>
    <row r="89" spans="1:8" s="1" customFormat="1" x14ac:dyDescent="0.2">
      <c r="B89" s="79">
        <v>45473</v>
      </c>
      <c r="C89" s="62">
        <f t="shared" si="7"/>
        <v>14</v>
      </c>
      <c r="D89" s="62">
        <f t="shared" si="4"/>
        <v>1</v>
      </c>
      <c r="E89" s="8"/>
      <c r="F89" s="62">
        <f t="shared" si="5"/>
        <v>1</v>
      </c>
      <c r="G89" s="8"/>
      <c r="H89" s="62">
        <f t="shared" si="6"/>
        <v>50</v>
      </c>
    </row>
    <row r="90" spans="1:8" s="1" customFormat="1" x14ac:dyDescent="0.2">
      <c r="B90" s="79">
        <v>45565</v>
      </c>
      <c r="C90" s="62">
        <f t="shared" si="7"/>
        <v>15</v>
      </c>
      <c r="D90" s="62">
        <f t="shared" si="4"/>
        <v>1</v>
      </c>
      <c r="E90" s="8"/>
      <c r="F90" s="62">
        <f t="shared" si="5"/>
        <v>1</v>
      </c>
      <c r="G90" s="8"/>
      <c r="H90" s="62">
        <f t="shared" si="6"/>
        <v>50</v>
      </c>
    </row>
    <row r="91" spans="1:8" s="1" customFormat="1" x14ac:dyDescent="0.2">
      <c r="A91" s="8" t="s">
        <v>277</v>
      </c>
      <c r="B91" s="79">
        <v>45657</v>
      </c>
      <c r="C91" s="62">
        <f t="shared" si="7"/>
        <v>16</v>
      </c>
      <c r="D91" s="62">
        <f t="shared" si="4"/>
        <v>1</v>
      </c>
      <c r="E91" s="62">
        <v>50</v>
      </c>
      <c r="F91" s="62">
        <f t="shared" si="5"/>
        <v>51</v>
      </c>
      <c r="G91" s="8"/>
      <c r="H91" s="62">
        <f t="shared" si="6"/>
        <v>0</v>
      </c>
    </row>
    <row r="92" spans="1:8" s="1" customFormat="1" x14ac:dyDescent="0.2">
      <c r="B92" s="24"/>
    </row>
    <row r="93" spans="1:8" s="1" customFormat="1" x14ac:dyDescent="0.2">
      <c r="A93" s="1" t="s">
        <v>3303</v>
      </c>
      <c r="B93" s="24"/>
    </row>
    <row r="94" spans="1:8" s="1" customFormat="1" x14ac:dyDescent="0.2">
      <c r="A94" s="1" t="s">
        <v>3304</v>
      </c>
      <c r="B94" s="24"/>
    </row>
    <row r="95" spans="1:8" s="1" customFormat="1" x14ac:dyDescent="0.2">
      <c r="B95" s="24"/>
    </row>
    <row r="96" spans="1:8" s="8" customFormat="1" x14ac:dyDescent="0.2">
      <c r="A96" s="8" t="s">
        <v>278</v>
      </c>
      <c r="F96" s="485">
        <f>IRR(F76:F91)</f>
        <v>1.6547165292727151E-2</v>
      </c>
    </row>
    <row r="97" spans="1:8" s="8" customFormat="1" x14ac:dyDescent="0.2">
      <c r="A97" s="8" t="s">
        <v>279</v>
      </c>
      <c r="F97" s="486">
        <f>(1+F96)^4-1</f>
        <v>6.784971124734529E-2</v>
      </c>
    </row>
    <row r="98" spans="1:8" s="8" customFormat="1" x14ac:dyDescent="0.2">
      <c r="F98" s="97" t="s">
        <v>2280</v>
      </c>
    </row>
    <row r="99" spans="1:8" s="8" customFormat="1" x14ac:dyDescent="0.2"/>
    <row r="100" spans="1:8" s="1" customFormat="1" x14ac:dyDescent="0.2">
      <c r="A100" s="81" t="s">
        <v>3306</v>
      </c>
      <c r="B100" s="38"/>
      <c r="C100" s="38"/>
      <c r="D100" s="38"/>
      <c r="E100" s="38"/>
      <c r="F100" s="38"/>
      <c r="G100" s="45" t="s">
        <v>2482</v>
      </c>
      <c r="H100" s="38"/>
    </row>
    <row r="101" spans="1:8" s="8" customFormat="1" x14ac:dyDescent="0.2"/>
    <row r="102" spans="1:8" s="1" customFormat="1" x14ac:dyDescent="0.2">
      <c r="A102" s="1" t="s">
        <v>2596</v>
      </c>
      <c r="F102" s="13"/>
    </row>
    <row r="103" spans="1:8" s="1" customFormat="1" x14ac:dyDescent="0.2">
      <c r="A103" s="1" t="s">
        <v>3307</v>
      </c>
      <c r="F103" s="13"/>
    </row>
    <row r="104" spans="1:8" s="1" customFormat="1" x14ac:dyDescent="0.2">
      <c r="F104" s="13"/>
    </row>
    <row r="105" spans="1:8" s="1" customFormat="1" x14ac:dyDescent="0.2">
      <c r="A105" s="4" t="s">
        <v>2597</v>
      </c>
      <c r="F105" s="13"/>
    </row>
    <row r="106" spans="1:8" s="1" customFormat="1" x14ac:dyDescent="0.2">
      <c r="F106" s="13"/>
    </row>
    <row r="107" spans="1:8" s="8" customFormat="1" x14ac:dyDescent="0.2">
      <c r="B107" s="323" t="s">
        <v>12</v>
      </c>
      <c r="C107" s="323" t="s">
        <v>202</v>
      </c>
      <c r="D107" s="323" t="s">
        <v>204</v>
      </c>
      <c r="E107" s="323" t="s">
        <v>203</v>
      </c>
      <c r="F107" s="323" t="s">
        <v>460</v>
      </c>
      <c r="H107" s="323" t="s">
        <v>206</v>
      </c>
    </row>
    <row r="108" spans="1:8" s="8" customFormat="1" x14ac:dyDescent="0.2">
      <c r="A108" s="8" t="s">
        <v>2286</v>
      </c>
      <c r="B108" s="79">
        <v>45107</v>
      </c>
      <c r="C108" s="62">
        <v>0</v>
      </c>
      <c r="D108" s="105"/>
      <c r="E108" s="105"/>
      <c r="F108" s="62">
        <v>-98</v>
      </c>
      <c r="G108" s="62"/>
      <c r="H108" s="62">
        <v>100</v>
      </c>
    </row>
    <row r="109" spans="1:8" s="8" customFormat="1" x14ac:dyDescent="0.2">
      <c r="B109" s="79">
        <v>45291</v>
      </c>
      <c r="C109" s="62">
        <v>1</v>
      </c>
      <c r="D109" s="62"/>
      <c r="E109" s="62">
        <f>5%*H108</f>
        <v>5</v>
      </c>
      <c r="F109" s="62">
        <f>D109+E109</f>
        <v>5</v>
      </c>
      <c r="G109" s="62"/>
      <c r="H109" s="62">
        <f>H108-D109</f>
        <v>100</v>
      </c>
    </row>
    <row r="110" spans="1:8" s="8" customFormat="1" x14ac:dyDescent="0.2">
      <c r="B110" s="79">
        <v>45657</v>
      </c>
      <c r="C110" s="62">
        <v>2</v>
      </c>
      <c r="D110" s="62"/>
      <c r="E110" s="62">
        <f>5%*H109</f>
        <v>5</v>
      </c>
      <c r="F110" s="62">
        <f>D110+E110</f>
        <v>5</v>
      </c>
      <c r="G110" s="62"/>
      <c r="H110" s="62">
        <f>H109-D110</f>
        <v>100</v>
      </c>
    </row>
    <row r="111" spans="1:8" s="8" customFormat="1" x14ac:dyDescent="0.2">
      <c r="A111" s="8" t="s">
        <v>3308</v>
      </c>
      <c r="B111" s="79">
        <v>46022</v>
      </c>
      <c r="C111" s="62">
        <v>3</v>
      </c>
      <c r="D111" s="62">
        <f>100/2</f>
        <v>50</v>
      </c>
      <c r="E111" s="62">
        <f>5%*H110</f>
        <v>5</v>
      </c>
      <c r="F111" s="62">
        <f>D111+E111</f>
        <v>55</v>
      </c>
      <c r="G111" s="62"/>
      <c r="H111" s="62">
        <f>H110-D111</f>
        <v>50</v>
      </c>
    </row>
    <row r="112" spans="1:8" s="8" customFormat="1" x14ac:dyDescent="0.2">
      <c r="A112" s="8" t="s">
        <v>3309</v>
      </c>
      <c r="B112" s="79">
        <v>46387</v>
      </c>
      <c r="C112" s="62">
        <v>4</v>
      </c>
      <c r="D112" s="62">
        <f>D111</f>
        <v>50</v>
      </c>
      <c r="E112" s="62">
        <f>5%*H111</f>
        <v>2.5</v>
      </c>
      <c r="F112" s="62">
        <f>D112+E112</f>
        <v>52.5</v>
      </c>
      <c r="G112" s="62"/>
      <c r="H112" s="62">
        <f>H111-D112</f>
        <v>0</v>
      </c>
    </row>
    <row r="113" spans="1:8" s="8" customFormat="1" x14ac:dyDescent="0.2"/>
    <row r="114" spans="1:8" s="8" customFormat="1" x14ac:dyDescent="0.2">
      <c r="A114" s="8" t="s">
        <v>3310</v>
      </c>
    </row>
    <row r="115" spans="1:8" s="8" customFormat="1" x14ac:dyDescent="0.2">
      <c r="A115" s="14" t="s">
        <v>3311</v>
      </c>
    </row>
    <row r="116" spans="1:8" s="8" customFormat="1" x14ac:dyDescent="0.2">
      <c r="A116" s="8" t="s">
        <v>3312</v>
      </c>
    </row>
    <row r="117" spans="1:8" s="8" customFormat="1" x14ac:dyDescent="0.2"/>
    <row r="118" spans="1:8" s="8" customFormat="1" x14ac:dyDescent="0.2">
      <c r="A118" s="8" t="s">
        <v>3313</v>
      </c>
    </row>
    <row r="119" spans="1:8" s="8" customFormat="1" x14ac:dyDescent="0.2"/>
    <row r="120" spans="1:8" s="8" customFormat="1" x14ac:dyDescent="0.2">
      <c r="A120" s="8" t="s">
        <v>3314</v>
      </c>
    </row>
    <row r="121" spans="1:8" s="8" customFormat="1" x14ac:dyDescent="0.2"/>
    <row r="122" spans="1:8" s="8" customFormat="1" x14ac:dyDescent="0.2">
      <c r="B122" s="323" t="s">
        <v>12</v>
      </c>
      <c r="C122" s="323" t="s">
        <v>202</v>
      </c>
      <c r="D122" s="323" t="s">
        <v>204</v>
      </c>
      <c r="E122" s="323" t="s">
        <v>203</v>
      </c>
      <c r="F122" s="323" t="s">
        <v>460</v>
      </c>
      <c r="H122" s="323" t="s">
        <v>206</v>
      </c>
    </row>
    <row r="123" spans="1:8" s="8" customFormat="1" x14ac:dyDescent="0.2">
      <c r="A123" s="8" t="s">
        <v>2286</v>
      </c>
      <c r="B123" s="79">
        <v>45107</v>
      </c>
      <c r="C123" s="62">
        <v>0</v>
      </c>
      <c r="D123" s="105"/>
      <c r="E123" s="105"/>
      <c r="F123" s="62">
        <v>-98</v>
      </c>
      <c r="G123" s="62"/>
      <c r="H123" s="62">
        <v>100</v>
      </c>
    </row>
    <row r="124" spans="1:8" s="8" customFormat="1" x14ac:dyDescent="0.2">
      <c r="B124" s="79">
        <v>45291</v>
      </c>
      <c r="C124" s="62">
        <v>1</v>
      </c>
      <c r="D124" s="62"/>
      <c r="E124" s="62">
        <f>5%*H123</f>
        <v>5</v>
      </c>
      <c r="F124" s="62">
        <f>D124+E124</f>
        <v>5</v>
      </c>
      <c r="G124" s="62"/>
      <c r="H124" s="62">
        <f>H123-D124</f>
        <v>100</v>
      </c>
    </row>
    <row r="125" spans="1:8" s="8" customFormat="1" x14ac:dyDescent="0.2">
      <c r="A125" s="487"/>
      <c r="B125" s="488">
        <v>45473</v>
      </c>
      <c r="C125" s="182"/>
      <c r="D125" s="182"/>
      <c r="E125" s="182"/>
      <c r="F125" s="489">
        <v>0</v>
      </c>
      <c r="G125" s="182"/>
      <c r="H125" s="182"/>
    </row>
    <row r="126" spans="1:8" s="8" customFormat="1" x14ac:dyDescent="0.2">
      <c r="B126" s="79">
        <v>45657</v>
      </c>
      <c r="C126" s="62">
        <v>2</v>
      </c>
      <c r="D126" s="62"/>
      <c r="E126" s="62">
        <f>5%*H124</f>
        <v>5</v>
      </c>
      <c r="F126" s="62">
        <f>D126+E126</f>
        <v>5</v>
      </c>
      <c r="G126" s="62"/>
      <c r="H126" s="62">
        <f>H124-D126</f>
        <v>100</v>
      </c>
    </row>
    <row r="127" spans="1:8" s="8" customFormat="1" x14ac:dyDescent="0.2">
      <c r="A127" s="487"/>
      <c r="B127" s="488">
        <v>45838</v>
      </c>
      <c r="C127" s="182"/>
      <c r="D127" s="182"/>
      <c r="E127" s="182"/>
      <c r="F127" s="489">
        <v>0</v>
      </c>
      <c r="G127" s="182"/>
      <c r="H127" s="182"/>
    </row>
    <row r="128" spans="1:8" s="8" customFormat="1" x14ac:dyDescent="0.2">
      <c r="A128" s="8" t="s">
        <v>3308</v>
      </c>
      <c r="B128" s="79">
        <v>46022</v>
      </c>
      <c r="C128" s="62">
        <v>3</v>
      </c>
      <c r="D128" s="62">
        <f>100/2</f>
        <v>50</v>
      </c>
      <c r="E128" s="62">
        <f>5%*H126</f>
        <v>5</v>
      </c>
      <c r="F128" s="62">
        <f>D128+E128</f>
        <v>55</v>
      </c>
      <c r="G128" s="62"/>
      <c r="H128" s="62">
        <f>H126-D128</f>
        <v>50</v>
      </c>
    </row>
    <row r="129" spans="1:8" s="8" customFormat="1" x14ac:dyDescent="0.2">
      <c r="A129" s="487"/>
      <c r="B129" s="488">
        <v>46203</v>
      </c>
      <c r="C129" s="182"/>
      <c r="D129" s="182"/>
      <c r="E129" s="182"/>
      <c r="F129" s="489">
        <v>0</v>
      </c>
      <c r="G129" s="182"/>
      <c r="H129" s="182"/>
    </row>
    <row r="130" spans="1:8" s="8" customFormat="1" x14ac:dyDescent="0.2">
      <c r="A130" s="8" t="s">
        <v>3309</v>
      </c>
      <c r="B130" s="79">
        <v>46387</v>
      </c>
      <c r="C130" s="62">
        <v>4</v>
      </c>
      <c r="D130" s="62">
        <f>D128</f>
        <v>50</v>
      </c>
      <c r="E130" s="62">
        <f>5%*H128</f>
        <v>2.5</v>
      </c>
      <c r="F130" s="62">
        <f>D130+E130</f>
        <v>52.5</v>
      </c>
      <c r="G130" s="62"/>
      <c r="H130" s="62">
        <f>H128-D130</f>
        <v>0</v>
      </c>
    </row>
    <row r="131" spans="1:8" s="8" customFormat="1" x14ac:dyDescent="0.2"/>
    <row r="132" spans="1:8" s="8" customFormat="1" x14ac:dyDescent="0.2">
      <c r="A132" s="8" t="s">
        <v>3315</v>
      </c>
    </row>
    <row r="133" spans="1:8" s="8" customFormat="1" x14ac:dyDescent="0.2">
      <c r="A133" s="8" t="s">
        <v>3316</v>
      </c>
      <c r="F133" s="113">
        <f>IRR(F123:F131)</f>
        <v>3.2927648513003449E-2</v>
      </c>
    </row>
    <row r="134" spans="1:8" s="8" customFormat="1" ht="17" thickBot="1" x14ac:dyDescent="0.25"/>
    <row r="135" spans="1:8" s="8" customFormat="1" x14ac:dyDescent="0.2">
      <c r="A135" s="8" t="s">
        <v>3317</v>
      </c>
      <c r="F135" s="490">
        <f>(1+F133)^2-1</f>
        <v>6.6939527062602755E-2</v>
      </c>
    </row>
    <row r="136" spans="1:8" s="8" customFormat="1" ht="17" thickBot="1" x14ac:dyDescent="0.25">
      <c r="F136" s="491" t="s">
        <v>2280</v>
      </c>
    </row>
    <row r="137" spans="1:8" s="8" customFormat="1" x14ac:dyDescent="0.2"/>
    <row r="138" spans="1:8" s="1" customFormat="1" x14ac:dyDescent="0.2"/>
    <row r="139" spans="1:8" s="1" customFormat="1" x14ac:dyDescent="0.2"/>
    <row r="140" spans="1:8" s="1" customFormat="1" x14ac:dyDescent="0.2"/>
    <row r="141" spans="1:8" s="1" customFormat="1" x14ac:dyDescent="0.2"/>
    <row r="142" spans="1:8" s="1" customFormat="1" x14ac:dyDescent="0.2"/>
    <row r="143" spans="1:8" s="1" customFormat="1" x14ac:dyDescent="0.2"/>
    <row r="144" spans="1:8" s="1" customFormat="1" x14ac:dyDescent="0.2"/>
    <row r="145" spans="1:8" s="1" customFormat="1" x14ac:dyDescent="0.2">
      <c r="A145" s="1" t="s">
        <v>3318</v>
      </c>
    </row>
    <row r="146" spans="1:8" s="1" customFormat="1" x14ac:dyDescent="0.2">
      <c r="A146" s="1" t="s">
        <v>3319</v>
      </c>
    </row>
    <row r="147" spans="1:8" s="8" customFormat="1" x14ac:dyDescent="0.2">
      <c r="A147" s="8" t="s">
        <v>3320</v>
      </c>
    </row>
    <row r="148" spans="1:8" s="8" customFormat="1" x14ac:dyDescent="0.2"/>
    <row r="149" spans="1:8" s="1" customFormat="1" x14ac:dyDescent="0.2">
      <c r="A149" s="81" t="s">
        <v>3321</v>
      </c>
      <c r="B149" s="38"/>
      <c r="C149" s="38"/>
      <c r="D149" s="38"/>
      <c r="E149" s="38"/>
      <c r="F149" s="38"/>
      <c r="G149" s="45" t="s">
        <v>2482</v>
      </c>
      <c r="H149" s="38"/>
    </row>
    <row r="150" spans="1:8" s="8" customFormat="1" x14ac:dyDescent="0.2"/>
    <row r="151" spans="1:8" s="1" customFormat="1" x14ac:dyDescent="0.2">
      <c r="A151" s="1" t="s">
        <v>3322</v>
      </c>
      <c r="F151" s="13"/>
    </row>
    <row r="152" spans="1:8" s="1" customFormat="1" x14ac:dyDescent="0.2">
      <c r="A152" s="1" t="s">
        <v>3323</v>
      </c>
      <c r="F152" s="13"/>
    </row>
    <row r="153" spans="1:8" s="1" customFormat="1" x14ac:dyDescent="0.2">
      <c r="A153" s="1" t="s">
        <v>3324</v>
      </c>
      <c r="F153" s="13"/>
    </row>
    <row r="154" spans="1:8" s="1" customFormat="1" x14ac:dyDescent="0.2">
      <c r="A154" s="1" t="s">
        <v>3325</v>
      </c>
      <c r="F154" s="13"/>
    </row>
    <row r="155" spans="1:8" s="1" customFormat="1" x14ac:dyDescent="0.2">
      <c r="A155" s="1" t="s">
        <v>2597</v>
      </c>
      <c r="F155" s="13"/>
    </row>
    <row r="156" spans="1:8" s="1" customFormat="1" x14ac:dyDescent="0.2">
      <c r="F156" s="13"/>
    </row>
    <row r="157" spans="1:8" s="1" customFormat="1" x14ac:dyDescent="0.2">
      <c r="B157" s="25" t="s">
        <v>12</v>
      </c>
      <c r="C157" s="25" t="s">
        <v>202</v>
      </c>
      <c r="D157" s="25" t="s">
        <v>204</v>
      </c>
      <c r="E157" s="25" t="s">
        <v>2243</v>
      </c>
      <c r="F157" s="323" t="s">
        <v>460</v>
      </c>
      <c r="H157" s="25" t="s">
        <v>206</v>
      </c>
    </row>
    <row r="158" spans="1:8" s="1" customFormat="1" x14ac:dyDescent="0.2">
      <c r="A158" s="1" t="s">
        <v>2286</v>
      </c>
      <c r="B158" s="24">
        <v>43739</v>
      </c>
      <c r="C158" s="1">
        <v>0</v>
      </c>
      <c r="D158" s="27"/>
      <c r="E158" s="27"/>
      <c r="F158" s="8">
        <v>-95</v>
      </c>
      <c r="H158" s="1">
        <v>100</v>
      </c>
    </row>
    <row r="159" spans="1:8" s="1" customFormat="1" x14ac:dyDescent="0.2">
      <c r="B159" s="24">
        <v>43830</v>
      </c>
      <c r="C159" s="1">
        <v>1</v>
      </c>
      <c r="E159" s="1">
        <f>5%/2*H158</f>
        <v>2.5</v>
      </c>
      <c r="F159" s="8">
        <f>D159+E159</f>
        <v>2.5</v>
      </c>
      <c r="H159" s="1">
        <f>H158-D159</f>
        <v>100</v>
      </c>
    </row>
    <row r="160" spans="1:8" s="1" customFormat="1" x14ac:dyDescent="0.2">
      <c r="B160" s="24">
        <v>43921</v>
      </c>
      <c r="F160" s="8">
        <v>0</v>
      </c>
    </row>
    <row r="161" spans="1:8" s="1" customFormat="1" x14ac:dyDescent="0.2">
      <c r="B161" s="24">
        <v>44012</v>
      </c>
      <c r="C161" s="1">
        <f>C159+1</f>
        <v>2</v>
      </c>
      <c r="E161" s="1">
        <f>5%/2*H159</f>
        <v>2.5</v>
      </c>
      <c r="F161" s="8">
        <f t="shared" ref="F161:F183" si="8">D161+E161</f>
        <v>2.5</v>
      </c>
      <c r="H161" s="1">
        <f>H159-D161</f>
        <v>100</v>
      </c>
    </row>
    <row r="162" spans="1:8" s="1" customFormat="1" x14ac:dyDescent="0.2">
      <c r="B162" s="24">
        <v>44104</v>
      </c>
      <c r="F162" s="8">
        <v>0</v>
      </c>
    </row>
    <row r="163" spans="1:8" s="1" customFormat="1" x14ac:dyDescent="0.2">
      <c r="B163" s="24">
        <v>44196</v>
      </c>
      <c r="C163" s="1">
        <f>C161+1</f>
        <v>3</v>
      </c>
      <c r="E163" s="1">
        <f>5%/2*H161</f>
        <v>2.5</v>
      </c>
      <c r="F163" s="8">
        <f t="shared" si="8"/>
        <v>2.5</v>
      </c>
      <c r="H163" s="1">
        <f>H161-D163</f>
        <v>100</v>
      </c>
    </row>
    <row r="164" spans="1:8" s="1" customFormat="1" x14ac:dyDescent="0.2">
      <c r="B164" s="24">
        <v>44286</v>
      </c>
      <c r="F164" s="8">
        <v>0</v>
      </c>
    </row>
    <row r="165" spans="1:8" s="1" customFormat="1" x14ac:dyDescent="0.2">
      <c r="B165" s="24">
        <v>44377</v>
      </c>
      <c r="C165" s="1">
        <f>C163+1</f>
        <v>4</v>
      </c>
      <c r="E165" s="1">
        <f>5%/2*H163</f>
        <v>2.5</v>
      </c>
      <c r="F165" s="8">
        <f t="shared" si="8"/>
        <v>2.5</v>
      </c>
      <c r="H165" s="1">
        <f>H163-D165</f>
        <v>100</v>
      </c>
    </row>
    <row r="166" spans="1:8" s="1" customFormat="1" x14ac:dyDescent="0.2">
      <c r="B166" s="24">
        <v>44469</v>
      </c>
      <c r="F166" s="8">
        <v>0</v>
      </c>
    </row>
    <row r="167" spans="1:8" s="1" customFormat="1" x14ac:dyDescent="0.2">
      <c r="B167" s="24">
        <v>44561</v>
      </c>
      <c r="C167" s="1">
        <f>C165+1</f>
        <v>5</v>
      </c>
      <c r="E167" s="1">
        <f>5%/2*H165</f>
        <v>2.5</v>
      </c>
      <c r="F167" s="8">
        <f t="shared" si="8"/>
        <v>2.5</v>
      </c>
      <c r="H167" s="1">
        <f>H165-D167</f>
        <v>100</v>
      </c>
    </row>
    <row r="168" spans="1:8" s="1" customFormat="1" x14ac:dyDescent="0.2">
      <c r="B168" s="24">
        <v>44651</v>
      </c>
      <c r="F168" s="8">
        <v>0</v>
      </c>
    </row>
    <row r="169" spans="1:8" s="1" customFormat="1" x14ac:dyDescent="0.2">
      <c r="A169" s="4"/>
      <c r="B169" s="24">
        <v>44742</v>
      </c>
      <c r="C169" s="1">
        <f>C167+1</f>
        <v>6</v>
      </c>
      <c r="E169" s="1">
        <f>5%/2*H167</f>
        <v>2.5</v>
      </c>
      <c r="F169" s="8">
        <f t="shared" si="8"/>
        <v>2.5</v>
      </c>
      <c r="H169" s="1">
        <f>H167-D169</f>
        <v>100</v>
      </c>
    </row>
    <row r="170" spans="1:8" s="1" customFormat="1" x14ac:dyDescent="0.2">
      <c r="A170" s="4"/>
      <c r="B170" s="24">
        <v>44834</v>
      </c>
      <c r="F170" s="8">
        <v>0</v>
      </c>
    </row>
    <row r="171" spans="1:8" s="8" customFormat="1" x14ac:dyDescent="0.2">
      <c r="A171" s="8" t="s">
        <v>207</v>
      </c>
      <c r="B171" s="24">
        <v>44926</v>
      </c>
      <c r="C171" s="1">
        <f>C169+1</f>
        <v>7</v>
      </c>
      <c r="D171" s="8">
        <f>100/4</f>
        <v>25</v>
      </c>
      <c r="E171" s="1">
        <f>5%/2*H169</f>
        <v>2.5</v>
      </c>
      <c r="F171" s="8">
        <f t="shared" si="8"/>
        <v>27.5</v>
      </c>
      <c r="H171" s="1">
        <f>H169-D171</f>
        <v>75</v>
      </c>
    </row>
    <row r="172" spans="1:8" s="8" customFormat="1" x14ac:dyDescent="0.2">
      <c r="B172" s="24">
        <v>45016</v>
      </c>
      <c r="C172" s="1"/>
      <c r="E172" s="1"/>
      <c r="F172" s="8">
        <v>0</v>
      </c>
      <c r="H172" s="1"/>
    </row>
    <row r="173" spans="1:8" s="8" customFormat="1" x14ac:dyDescent="0.2">
      <c r="B173" s="24">
        <v>45107</v>
      </c>
      <c r="C173" s="1">
        <f>C171+1</f>
        <v>8</v>
      </c>
      <c r="E173" s="1">
        <f>5%/2*H171</f>
        <v>1.875</v>
      </c>
      <c r="F173" s="8">
        <f t="shared" si="8"/>
        <v>1.875</v>
      </c>
      <c r="H173" s="1">
        <f>H171-D173</f>
        <v>75</v>
      </c>
    </row>
    <row r="174" spans="1:8" s="8" customFormat="1" x14ac:dyDescent="0.2">
      <c r="B174" s="24">
        <v>45199</v>
      </c>
      <c r="C174" s="1"/>
      <c r="E174" s="1"/>
      <c r="F174" s="8">
        <v>0</v>
      </c>
      <c r="H174" s="1"/>
    </row>
    <row r="175" spans="1:8" s="8" customFormat="1" x14ac:dyDescent="0.2">
      <c r="A175" s="8" t="s">
        <v>208</v>
      </c>
      <c r="B175" s="24">
        <v>45291</v>
      </c>
      <c r="C175" s="1">
        <f>C173+1</f>
        <v>9</v>
      </c>
      <c r="D175" s="8">
        <f>100/4</f>
        <v>25</v>
      </c>
      <c r="E175" s="1">
        <f>5%/2*H173</f>
        <v>1.875</v>
      </c>
      <c r="F175" s="8">
        <f t="shared" si="8"/>
        <v>26.875</v>
      </c>
      <c r="H175" s="1">
        <f>H173-D175</f>
        <v>50</v>
      </c>
    </row>
    <row r="176" spans="1:8" s="8" customFormat="1" x14ac:dyDescent="0.2">
      <c r="B176" s="24">
        <v>45382</v>
      </c>
      <c r="C176" s="1"/>
      <c r="E176" s="1"/>
      <c r="F176" s="8">
        <v>0</v>
      </c>
      <c r="H176" s="1"/>
    </row>
    <row r="177" spans="1:8" s="8" customFormat="1" x14ac:dyDescent="0.2">
      <c r="B177" s="24">
        <v>45473</v>
      </c>
      <c r="C177" s="1">
        <f>C175+1</f>
        <v>10</v>
      </c>
      <c r="E177" s="1">
        <f>5%/2*H175</f>
        <v>1.25</v>
      </c>
      <c r="F177" s="8">
        <f t="shared" si="8"/>
        <v>1.25</v>
      </c>
      <c r="H177" s="1">
        <f>H175-D177</f>
        <v>50</v>
      </c>
    </row>
    <row r="178" spans="1:8" s="8" customFormat="1" x14ac:dyDescent="0.2">
      <c r="B178" s="24">
        <v>45565</v>
      </c>
      <c r="C178" s="1"/>
      <c r="E178" s="1"/>
      <c r="F178" s="8">
        <v>0</v>
      </c>
      <c r="H178" s="1"/>
    </row>
    <row r="179" spans="1:8" s="8" customFormat="1" x14ac:dyDescent="0.2">
      <c r="A179" s="8" t="s">
        <v>209</v>
      </c>
      <c r="B179" s="24">
        <v>45657</v>
      </c>
      <c r="C179" s="1">
        <f>C177+1</f>
        <v>11</v>
      </c>
      <c r="D179" s="8">
        <f>100/4</f>
        <v>25</v>
      </c>
      <c r="E179" s="1">
        <f>5%/2*H177</f>
        <v>1.25</v>
      </c>
      <c r="F179" s="8">
        <f t="shared" si="8"/>
        <v>26.25</v>
      </c>
      <c r="H179" s="1">
        <f>H177-D179</f>
        <v>25</v>
      </c>
    </row>
    <row r="180" spans="1:8" s="8" customFormat="1" x14ac:dyDescent="0.2">
      <c r="B180" s="24">
        <v>45747</v>
      </c>
      <c r="C180" s="1"/>
      <c r="E180" s="1"/>
      <c r="F180" s="8">
        <v>0</v>
      </c>
      <c r="H180" s="1"/>
    </row>
    <row r="181" spans="1:8" s="8" customFormat="1" x14ac:dyDescent="0.2">
      <c r="B181" s="24">
        <v>45838</v>
      </c>
      <c r="C181" s="1">
        <f>C179+1</f>
        <v>12</v>
      </c>
      <c r="E181" s="1">
        <f>5%/2*H179</f>
        <v>0.625</v>
      </c>
      <c r="F181" s="8">
        <f t="shared" si="8"/>
        <v>0.625</v>
      </c>
      <c r="H181" s="1">
        <f>H179-D181</f>
        <v>25</v>
      </c>
    </row>
    <row r="182" spans="1:8" s="8" customFormat="1" x14ac:dyDescent="0.2">
      <c r="B182" s="24">
        <v>45930</v>
      </c>
      <c r="C182" s="1"/>
      <c r="E182" s="1"/>
      <c r="F182" s="8">
        <v>0</v>
      </c>
      <c r="H182" s="1"/>
    </row>
    <row r="183" spans="1:8" s="8" customFormat="1" x14ac:dyDescent="0.2">
      <c r="A183" s="8" t="s">
        <v>210</v>
      </c>
      <c r="B183" s="492">
        <v>46022</v>
      </c>
      <c r="C183" s="1">
        <f>C181+1</f>
        <v>13</v>
      </c>
      <c r="D183" s="8">
        <f>100/4</f>
        <v>25</v>
      </c>
      <c r="E183" s="1">
        <f>5%/2*H181</f>
        <v>0.625</v>
      </c>
      <c r="F183" s="8">
        <f t="shared" si="8"/>
        <v>25.625</v>
      </c>
      <c r="H183" s="1">
        <f>H181-D183</f>
        <v>0</v>
      </c>
    </row>
    <row r="184" spans="1:8" s="8" customFormat="1" x14ac:dyDescent="0.2"/>
    <row r="185" spans="1:8" s="8" customFormat="1" x14ac:dyDescent="0.2">
      <c r="B185" s="8" t="s">
        <v>3326</v>
      </c>
      <c r="F185" s="115">
        <f>IRR(F158:F183)</f>
        <v>1.627164077695098E-2</v>
      </c>
    </row>
    <row r="186" spans="1:8" s="8" customFormat="1" ht="17" thickBot="1" x14ac:dyDescent="0.25"/>
    <row r="187" spans="1:8" s="8" customFormat="1" x14ac:dyDescent="0.2">
      <c r="B187" s="8" t="s">
        <v>3327</v>
      </c>
      <c r="F187" s="493">
        <f>(1+F185)^4-1</f>
        <v>6.669246369851467E-2</v>
      </c>
    </row>
    <row r="188" spans="1:8" s="8" customFormat="1" ht="17" thickBot="1" x14ac:dyDescent="0.25">
      <c r="F188" s="494" t="s">
        <v>2280</v>
      </c>
    </row>
    <row r="189" spans="1:8" s="8" customFormat="1" x14ac:dyDescent="0.2"/>
    <row r="190" spans="1:8" s="8" customFormat="1" x14ac:dyDescent="0.2">
      <c r="B190" s="8" t="s">
        <v>3328</v>
      </c>
    </row>
    <row r="191" spans="1:8" s="8" customFormat="1" x14ac:dyDescent="0.2">
      <c r="B191" s="8" t="s">
        <v>3329</v>
      </c>
    </row>
    <row r="192" spans="1:8" s="8" customFormat="1" ht="17" thickBot="1" x14ac:dyDescent="0.25"/>
    <row r="193" spans="1:8" s="8" customFormat="1" ht="29" thickBot="1" x14ac:dyDescent="0.35">
      <c r="A193" s="495" t="s">
        <v>3331</v>
      </c>
      <c r="B193" s="101"/>
      <c r="C193" s="101"/>
      <c r="D193" s="101"/>
      <c r="E193" s="101"/>
      <c r="F193" s="101"/>
      <c r="G193" s="101"/>
      <c r="H193" s="338"/>
    </row>
    <row r="194" spans="1:8" s="8" customFormat="1" x14ac:dyDescent="0.2"/>
    <row r="195" spans="1:8" s="8" customFormat="1" x14ac:dyDescent="0.2">
      <c r="A195" s="8" t="s">
        <v>3332</v>
      </c>
    </row>
    <row r="196" spans="1:8" s="8" customFormat="1" x14ac:dyDescent="0.2">
      <c r="A196" s="8" t="s">
        <v>3333</v>
      </c>
    </row>
    <row r="197" spans="1:8" s="8" customFormat="1" x14ac:dyDescent="0.2">
      <c r="A197" s="8" t="s">
        <v>3334</v>
      </c>
    </row>
    <row r="198" spans="1:8" s="8" customFormat="1" x14ac:dyDescent="0.2"/>
    <row r="199" spans="1:8" s="4" customFormat="1" x14ac:dyDescent="0.2">
      <c r="A199" s="81" t="s">
        <v>3330</v>
      </c>
      <c r="B199" s="81"/>
      <c r="C199" s="81"/>
      <c r="D199" s="81"/>
      <c r="E199" s="81"/>
      <c r="F199" s="81"/>
      <c r="G199" s="81"/>
      <c r="H199" s="81"/>
    </row>
    <row r="200" spans="1:8" s="4" customFormat="1" x14ac:dyDescent="0.2"/>
    <row r="201" spans="1:8" s="1" customFormat="1" x14ac:dyDescent="0.2">
      <c r="A201" s="1" t="s">
        <v>3335</v>
      </c>
    </row>
    <row r="202" spans="1:8" s="1" customFormat="1" x14ac:dyDescent="0.2">
      <c r="A202" s="1" t="s">
        <v>280</v>
      </c>
    </row>
    <row r="203" spans="1:8" s="1" customFormat="1" x14ac:dyDescent="0.2">
      <c r="A203" s="1" t="s">
        <v>281</v>
      </c>
    </row>
    <row r="204" spans="1:8" s="1" customFormat="1" x14ac:dyDescent="0.2">
      <c r="A204" s="1" t="s">
        <v>282</v>
      </c>
    </row>
    <row r="205" spans="1:8" s="1" customFormat="1" x14ac:dyDescent="0.2">
      <c r="A205" s="1" t="s">
        <v>2503</v>
      </c>
    </row>
    <row r="206" spans="1:8" s="1" customFormat="1" x14ac:dyDescent="0.2">
      <c r="A206" s="1" t="s">
        <v>2504</v>
      </c>
    </row>
    <row r="207" spans="1:8" s="1" customFormat="1" x14ac:dyDescent="0.2"/>
    <row r="208" spans="1:8" s="1" customFormat="1" x14ac:dyDescent="0.2">
      <c r="A208" s="1" t="s">
        <v>198</v>
      </c>
    </row>
    <row r="209" spans="1:7" s="1" customFormat="1" x14ac:dyDescent="0.2"/>
    <row r="210" spans="1:7" s="1" customFormat="1" x14ac:dyDescent="0.2">
      <c r="A210" s="4" t="s">
        <v>2502</v>
      </c>
    </row>
    <row r="211" spans="1:7" s="1" customFormat="1" x14ac:dyDescent="0.2">
      <c r="A211" s="4"/>
    </row>
    <row r="212" spans="1:7" s="1" customFormat="1" x14ac:dyDescent="0.2">
      <c r="A212" s="4"/>
      <c r="B212" s="25" t="s">
        <v>12</v>
      </c>
      <c r="C212" s="25" t="s">
        <v>204</v>
      </c>
      <c r="D212" s="25" t="s">
        <v>2243</v>
      </c>
      <c r="E212" s="25" t="s">
        <v>3336</v>
      </c>
      <c r="F212" s="25"/>
      <c r="G212" s="25" t="s">
        <v>2241</v>
      </c>
    </row>
    <row r="213" spans="1:7" s="1" customFormat="1" x14ac:dyDescent="0.2">
      <c r="A213" s="4"/>
      <c r="B213" s="24">
        <v>44197</v>
      </c>
      <c r="C213" s="27"/>
      <c r="D213" s="27"/>
      <c r="E213" s="1">
        <v>-744</v>
      </c>
      <c r="G213" s="1">
        <v>800</v>
      </c>
    </row>
    <row r="214" spans="1:7" s="1" customFormat="1" x14ac:dyDescent="0.2">
      <c r="A214" s="4"/>
      <c r="B214" s="24">
        <v>44561</v>
      </c>
      <c r="C214" s="1">
        <v>0</v>
      </c>
      <c r="D214" s="1">
        <f>7%*G213</f>
        <v>56.000000000000007</v>
      </c>
      <c r="E214" s="1">
        <f>C214+D214</f>
        <v>56.000000000000007</v>
      </c>
      <c r="G214" s="1">
        <f>G213-C214</f>
        <v>800</v>
      </c>
    </row>
    <row r="215" spans="1:7" s="1" customFormat="1" x14ac:dyDescent="0.2">
      <c r="A215" s="4"/>
      <c r="B215" s="24">
        <v>44926</v>
      </c>
      <c r="C215" s="1">
        <v>0</v>
      </c>
      <c r="D215" s="1">
        <f>7%*G214</f>
        <v>56.000000000000007</v>
      </c>
      <c r="E215" s="1">
        <f>C215+D215</f>
        <v>56.000000000000007</v>
      </c>
      <c r="G215" s="1">
        <f>G214-C215</f>
        <v>800</v>
      </c>
    </row>
    <row r="216" spans="1:7" s="1" customFormat="1" x14ac:dyDescent="0.2">
      <c r="A216" s="4"/>
      <c r="B216" s="24">
        <v>45291</v>
      </c>
      <c r="C216" s="1">
        <v>0</v>
      </c>
      <c r="D216" s="1">
        <f>7%*G215</f>
        <v>56.000000000000007</v>
      </c>
      <c r="E216" s="1">
        <f>C216+D216</f>
        <v>56.000000000000007</v>
      </c>
      <c r="G216" s="1">
        <f>G215-C216</f>
        <v>800</v>
      </c>
    </row>
    <row r="217" spans="1:7" s="1" customFormat="1" x14ac:dyDescent="0.2">
      <c r="A217" s="4"/>
      <c r="B217" s="24">
        <v>45657</v>
      </c>
      <c r="C217" s="1">
        <v>0</v>
      </c>
      <c r="D217" s="1">
        <f>7%*G216</f>
        <v>56.000000000000007</v>
      </c>
      <c r="E217" s="1">
        <f>C217+D217</f>
        <v>56.000000000000007</v>
      </c>
      <c r="G217" s="1">
        <f>G216-C217</f>
        <v>800</v>
      </c>
    </row>
    <row r="218" spans="1:7" s="1" customFormat="1" x14ac:dyDescent="0.2">
      <c r="A218" s="4"/>
      <c r="B218" s="24">
        <v>46022</v>
      </c>
      <c r="C218" s="1">
        <v>800</v>
      </c>
      <c r="D218" s="1">
        <f>7%*G217</f>
        <v>56.000000000000007</v>
      </c>
      <c r="E218" s="1">
        <f>C218+D218</f>
        <v>856</v>
      </c>
      <c r="G218" s="1">
        <f>G217-C218</f>
        <v>0</v>
      </c>
    </row>
    <row r="219" spans="1:7" s="1" customFormat="1" x14ac:dyDescent="0.2">
      <c r="A219" s="4"/>
    </row>
    <row r="220" spans="1:7" s="1" customFormat="1" x14ac:dyDescent="0.2">
      <c r="A220" s="4"/>
      <c r="B220" s="1" t="s">
        <v>3337</v>
      </c>
      <c r="E220" s="43">
        <f>IRR(E213:E218)</f>
        <v>8.7898446752619819E-2</v>
      </c>
    </row>
    <row r="221" spans="1:7" s="1" customFormat="1" x14ac:dyDescent="0.2">
      <c r="A221" s="4"/>
    </row>
    <row r="222" spans="1:7" s="1" customFormat="1" x14ac:dyDescent="0.2">
      <c r="A222" s="4" t="s">
        <v>3338</v>
      </c>
    </row>
    <row r="223" spans="1:7" s="1" customFormat="1" x14ac:dyDescent="0.2">
      <c r="A223" s="4"/>
    </row>
    <row r="224" spans="1:7" s="1" customFormat="1" x14ac:dyDescent="0.2">
      <c r="A224" s="1" t="s">
        <v>3339</v>
      </c>
    </row>
    <row r="225" spans="1:7" s="1" customFormat="1" x14ac:dyDescent="0.2">
      <c r="A225" s="1" t="s">
        <v>3340</v>
      </c>
    </row>
    <row r="226" spans="1:7" s="1" customFormat="1" x14ac:dyDescent="0.2">
      <c r="A226" s="4"/>
    </row>
    <row r="227" spans="1:7" s="1" customFormat="1" x14ac:dyDescent="0.2">
      <c r="A227" s="4"/>
      <c r="B227" s="25" t="s">
        <v>12</v>
      </c>
      <c r="C227" s="25" t="s">
        <v>3341</v>
      </c>
      <c r="D227" s="25" t="s">
        <v>2243</v>
      </c>
      <c r="E227" s="25" t="s">
        <v>3336</v>
      </c>
      <c r="F227" s="25"/>
      <c r="G227" s="25"/>
    </row>
    <row r="228" spans="1:7" s="1" customFormat="1" x14ac:dyDescent="0.2">
      <c r="A228" s="4"/>
      <c r="B228" s="24">
        <v>44197</v>
      </c>
      <c r="C228" s="27"/>
      <c r="D228" s="27"/>
      <c r="E228" s="1">
        <v>-744</v>
      </c>
    </row>
    <row r="229" spans="1:7" s="1" customFormat="1" x14ac:dyDescent="0.2">
      <c r="A229" s="4"/>
      <c r="B229" s="24">
        <v>44561</v>
      </c>
      <c r="D229" s="1">
        <v>56</v>
      </c>
      <c r="E229" s="1">
        <f>C229+D229</f>
        <v>56</v>
      </c>
    </row>
    <row r="230" spans="1:7" s="1" customFormat="1" x14ac:dyDescent="0.2">
      <c r="A230" s="24">
        <v>44927</v>
      </c>
      <c r="B230" s="24">
        <v>44926</v>
      </c>
      <c r="C230" s="1">
        <v>760</v>
      </c>
      <c r="D230" s="1">
        <v>56</v>
      </c>
      <c r="E230" s="1">
        <f>C230+D230</f>
        <v>816</v>
      </c>
    </row>
    <row r="231" spans="1:7" s="1" customFormat="1" x14ac:dyDescent="0.2"/>
    <row r="232" spans="1:7" s="1" customFormat="1" x14ac:dyDescent="0.2">
      <c r="B232" s="1" t="s">
        <v>3342</v>
      </c>
      <c r="F232" s="1">
        <f>E229+E230</f>
        <v>872</v>
      </c>
      <c r="G232" s="1" t="s">
        <v>3343</v>
      </c>
    </row>
    <row r="233" spans="1:7" s="1" customFormat="1" x14ac:dyDescent="0.2">
      <c r="B233" s="1" t="s">
        <v>3344</v>
      </c>
      <c r="F233" s="1">
        <f>-E228</f>
        <v>744</v>
      </c>
    </row>
    <row r="234" spans="1:7" s="1" customFormat="1" x14ac:dyDescent="0.2"/>
    <row r="235" spans="1:7" s="1" customFormat="1" x14ac:dyDescent="0.2">
      <c r="B235" s="1" t="s">
        <v>3346</v>
      </c>
    </row>
    <row r="236" spans="1:7" s="1" customFormat="1" x14ac:dyDescent="0.2">
      <c r="B236" s="1" t="s">
        <v>3345</v>
      </c>
    </row>
    <row r="237" spans="1:7" s="1" customFormat="1" x14ac:dyDescent="0.2"/>
    <row r="238" spans="1:7" s="1" customFormat="1" x14ac:dyDescent="0.2"/>
    <row r="239" spans="1:7" s="1" customFormat="1" x14ac:dyDescent="0.2"/>
    <row r="240" spans="1:7" s="1" customFormat="1" x14ac:dyDescent="0.2">
      <c r="B240" s="1" t="s">
        <v>3347</v>
      </c>
    </row>
    <row r="241" spans="1:9" s="1" customFormat="1" x14ac:dyDescent="0.2">
      <c r="B241" s="1" t="s">
        <v>3348</v>
      </c>
    </row>
    <row r="242" spans="1:9" s="1" customFormat="1" x14ac:dyDescent="0.2"/>
    <row r="243" spans="1:9" s="1" customFormat="1" x14ac:dyDescent="0.2">
      <c r="C243" s="496">
        <f>(1+17.204%)^0.5-1</f>
        <v>8.2607962283669956E-2</v>
      </c>
    </row>
    <row r="244" spans="1:9" s="1" customFormat="1" x14ac:dyDescent="0.2">
      <c r="C244" s="121" t="s">
        <v>2280</v>
      </c>
    </row>
    <row r="245" spans="1:9" s="1" customFormat="1" x14ac:dyDescent="0.2"/>
    <row r="246" spans="1:9" s="1" customFormat="1" x14ac:dyDescent="0.2">
      <c r="A246" s="38" t="s">
        <v>2397</v>
      </c>
      <c r="B246" s="38"/>
      <c r="C246" s="38"/>
      <c r="D246" s="38"/>
      <c r="E246" s="38"/>
      <c r="F246" s="38"/>
      <c r="G246" s="45" t="s">
        <v>3349</v>
      </c>
      <c r="H246" s="38"/>
    </row>
    <row r="247" spans="1:9" s="1" customFormat="1" x14ac:dyDescent="0.2">
      <c r="A247" s="1" t="s">
        <v>288</v>
      </c>
    </row>
    <row r="248" spans="1:9" s="1" customFormat="1" x14ac:dyDescent="0.2">
      <c r="A248" s="1" t="s">
        <v>289</v>
      </c>
    </row>
    <row r="249" spans="1:9" s="1" customFormat="1" x14ac:dyDescent="0.2">
      <c r="A249" s="1" t="s">
        <v>290</v>
      </c>
    </row>
    <row r="250" spans="1:9" s="1" customFormat="1" x14ac:dyDescent="0.2">
      <c r="A250" s="1" t="s">
        <v>291</v>
      </c>
    </row>
    <row r="251" spans="1:9" s="1" customFormat="1" x14ac:dyDescent="0.2">
      <c r="A251" s="1" t="s">
        <v>282</v>
      </c>
    </row>
    <row r="252" spans="1:9" s="1" customFormat="1" ht="17" thickBot="1" x14ac:dyDescent="0.25">
      <c r="A252" s="1" t="s">
        <v>2505</v>
      </c>
    </row>
    <row r="253" spans="1:9" s="1" customFormat="1" x14ac:dyDescent="0.2">
      <c r="A253" s="1" t="s">
        <v>293</v>
      </c>
      <c r="G253" s="390" t="s">
        <v>2506</v>
      </c>
      <c r="H253" s="17"/>
      <c r="I253" s="18" t="s">
        <v>117</v>
      </c>
    </row>
    <row r="254" spans="1:9" s="1" customFormat="1" x14ac:dyDescent="0.2">
      <c r="G254" s="391" t="s">
        <v>2507</v>
      </c>
      <c r="I254" s="20" t="s">
        <v>119</v>
      </c>
    </row>
    <row r="255" spans="1:9" s="1" customFormat="1" x14ac:dyDescent="0.2">
      <c r="A255" s="1" t="s">
        <v>198</v>
      </c>
      <c r="G255" s="391" t="s">
        <v>2508</v>
      </c>
      <c r="I255" s="20" t="s">
        <v>123</v>
      </c>
    </row>
    <row r="256" spans="1:9" s="1" customFormat="1" x14ac:dyDescent="0.2">
      <c r="G256" s="393" t="s">
        <v>2509</v>
      </c>
      <c r="I256" s="20" t="s">
        <v>121</v>
      </c>
    </row>
    <row r="257" spans="1:9" s="1" customFormat="1" ht="17" thickBot="1" x14ac:dyDescent="0.25">
      <c r="A257" s="4" t="s">
        <v>283</v>
      </c>
      <c r="G257" s="392" t="s">
        <v>304</v>
      </c>
      <c r="H257" s="22"/>
      <c r="I257" s="23" t="s">
        <v>125</v>
      </c>
    </row>
    <row r="258" spans="1:9" s="1" customFormat="1" x14ac:dyDescent="0.2">
      <c r="A258" s="1" t="s">
        <v>2510</v>
      </c>
    </row>
    <row r="259" spans="1:9" s="1" customFormat="1" x14ac:dyDescent="0.2">
      <c r="A259" s="1" t="s">
        <v>2511</v>
      </c>
    </row>
    <row r="260" spans="1:9" s="1" customFormat="1" x14ac:dyDescent="0.2">
      <c r="A260" s="1" t="s">
        <v>294</v>
      </c>
    </row>
    <row r="261" spans="1:9" s="1" customFormat="1" x14ac:dyDescent="0.2">
      <c r="A261" s="1" t="s">
        <v>295</v>
      </c>
    </row>
    <row r="262" spans="1:9" s="1" customFormat="1" x14ac:dyDescent="0.2">
      <c r="A262" s="1" t="s">
        <v>296</v>
      </c>
    </row>
    <row r="263" spans="1:9" s="1" customFormat="1" x14ac:dyDescent="0.2"/>
    <row r="264" spans="1:9" s="1" customFormat="1" x14ac:dyDescent="0.2">
      <c r="A264" s="1" t="s">
        <v>297</v>
      </c>
      <c r="D264" s="82">
        <f>(1+6.09%)^0.5-1</f>
        <v>3.0000000000000027E-2</v>
      </c>
      <c r="E264" s="1" t="s">
        <v>117</v>
      </c>
      <c r="G264" s="1" t="s">
        <v>298</v>
      </c>
    </row>
    <row r="265" spans="1:9" s="1" customFormat="1" x14ac:dyDescent="0.2">
      <c r="A265" s="13" t="s">
        <v>299</v>
      </c>
      <c r="B265" s="13"/>
      <c r="C265" s="13"/>
      <c r="D265" s="13">
        <v>8</v>
      </c>
      <c r="E265" s="13" t="s">
        <v>119</v>
      </c>
      <c r="G265" s="1" t="s">
        <v>300</v>
      </c>
    </row>
    <row r="266" spans="1:9" s="1" customFormat="1" x14ac:dyDescent="0.2">
      <c r="A266" s="1" t="s">
        <v>301</v>
      </c>
      <c r="D266" s="1">
        <v>28</v>
      </c>
      <c r="E266" s="1" t="s">
        <v>123</v>
      </c>
      <c r="G266" s="1" t="s">
        <v>302</v>
      </c>
    </row>
    <row r="267" spans="1:9" s="1" customFormat="1" x14ac:dyDescent="0.2">
      <c r="A267" s="1" t="s">
        <v>303</v>
      </c>
      <c r="D267" s="10">
        <f>PV(D264,D265,D266,D268)</f>
        <v>-828.07876875814168</v>
      </c>
      <c r="E267" s="1" t="s">
        <v>121</v>
      </c>
    </row>
    <row r="268" spans="1:9" s="1" customFormat="1" x14ac:dyDescent="0.2">
      <c r="A268" s="13" t="s">
        <v>304</v>
      </c>
      <c r="B268" s="13"/>
      <c r="C268" s="13"/>
      <c r="D268" s="13">
        <v>800</v>
      </c>
      <c r="E268" s="13" t="s">
        <v>125</v>
      </c>
    </row>
    <row r="269" spans="1:9" s="1" customFormat="1" x14ac:dyDescent="0.2"/>
    <row r="270" spans="1:9" s="1" customFormat="1" x14ac:dyDescent="0.2">
      <c r="A270" s="1" t="s">
        <v>305</v>
      </c>
    </row>
    <row r="271" spans="1:9" s="1" customFormat="1" x14ac:dyDescent="0.2">
      <c r="A271" s="1" t="s">
        <v>306</v>
      </c>
    </row>
    <row r="272" spans="1:9" s="1" customFormat="1" ht="17" thickBot="1" x14ac:dyDescent="0.25"/>
    <row r="273" spans="1:7" s="1" customFormat="1" x14ac:dyDescent="0.2">
      <c r="A273" s="16" t="s">
        <v>307</v>
      </c>
      <c r="B273" s="17"/>
      <c r="C273" s="17"/>
      <c r="D273" s="17"/>
      <c r="E273" s="17"/>
      <c r="F273" s="17"/>
      <c r="G273" s="18"/>
    </row>
    <row r="274" spans="1:7" s="1" customFormat="1" x14ac:dyDescent="0.2">
      <c r="A274" s="19"/>
      <c r="B274" s="1" t="s">
        <v>308</v>
      </c>
      <c r="G274" s="20"/>
    </row>
    <row r="275" spans="1:7" s="1" customFormat="1" x14ac:dyDescent="0.2">
      <c r="A275" s="19"/>
      <c r="B275" s="1" t="s">
        <v>309</v>
      </c>
      <c r="G275" s="20"/>
    </row>
    <row r="276" spans="1:7" s="1" customFormat="1" x14ac:dyDescent="0.2">
      <c r="A276" s="19"/>
      <c r="B276" s="1" t="s">
        <v>310</v>
      </c>
      <c r="G276" s="20"/>
    </row>
    <row r="277" spans="1:7" s="1" customFormat="1" x14ac:dyDescent="0.2">
      <c r="A277" s="19"/>
      <c r="B277" s="1" t="s">
        <v>311</v>
      </c>
      <c r="G277" s="20"/>
    </row>
    <row r="278" spans="1:7" s="1" customFormat="1" ht="17" thickBot="1" x14ac:dyDescent="0.25">
      <c r="A278" s="21"/>
      <c r="B278" s="22" t="s">
        <v>312</v>
      </c>
      <c r="C278" s="22"/>
      <c r="D278" s="22"/>
      <c r="E278" s="22"/>
      <c r="F278" s="22"/>
      <c r="G278" s="23"/>
    </row>
    <row r="279" spans="1:7" s="1" customFormat="1" x14ac:dyDescent="0.2"/>
    <row r="280" spans="1:7" s="1" customFormat="1" x14ac:dyDescent="0.2">
      <c r="A280" s="4" t="s">
        <v>2521</v>
      </c>
    </row>
    <row r="281" spans="1:7" s="1" customFormat="1" x14ac:dyDescent="0.2">
      <c r="A281" s="37" t="s">
        <v>202</v>
      </c>
      <c r="B281" s="37" t="s">
        <v>12</v>
      </c>
      <c r="C281" s="37" t="s">
        <v>203</v>
      </c>
    </row>
    <row r="282" spans="1:7" s="1" customFormat="1" x14ac:dyDescent="0.2">
      <c r="A282" s="37">
        <v>0</v>
      </c>
      <c r="B282" s="76">
        <v>44197</v>
      </c>
      <c r="C282" s="27">
        <v>-811</v>
      </c>
    </row>
    <row r="283" spans="1:7" s="1" customFormat="1" x14ac:dyDescent="0.2">
      <c r="A283" s="37">
        <f>A282+1</f>
        <v>1</v>
      </c>
      <c r="B283" s="76">
        <v>44377</v>
      </c>
      <c r="C283" s="27">
        <v>28</v>
      </c>
    </row>
    <row r="284" spans="1:7" s="1" customFormat="1" x14ac:dyDescent="0.2">
      <c r="A284" s="37">
        <f t="shared" ref="A284:A294" si="9">A283+1</f>
        <v>2</v>
      </c>
      <c r="B284" s="76">
        <v>44561</v>
      </c>
      <c r="C284" s="27">
        <f>C283</f>
        <v>28</v>
      </c>
      <c r="D284" s="1" t="s">
        <v>2522</v>
      </c>
    </row>
    <row r="285" spans="1:7" s="1" customFormat="1" x14ac:dyDescent="0.2">
      <c r="A285" s="37">
        <f t="shared" si="9"/>
        <v>3</v>
      </c>
      <c r="B285" s="76">
        <v>44742</v>
      </c>
      <c r="C285" s="27">
        <f t="shared" ref="C285:C293" si="10">C284</f>
        <v>28</v>
      </c>
      <c r="D285" s="1" t="s">
        <v>2523</v>
      </c>
    </row>
    <row r="286" spans="1:7" s="1" customFormat="1" x14ac:dyDescent="0.2">
      <c r="A286" s="37">
        <f t="shared" si="9"/>
        <v>4</v>
      </c>
      <c r="B286" s="76">
        <v>44926</v>
      </c>
      <c r="C286" s="27">
        <f t="shared" si="10"/>
        <v>28</v>
      </c>
      <c r="D286" s="1" t="s">
        <v>2524</v>
      </c>
    </row>
    <row r="287" spans="1:7" s="1" customFormat="1" x14ac:dyDescent="0.2">
      <c r="A287" s="37">
        <f t="shared" si="9"/>
        <v>5</v>
      </c>
      <c r="B287" s="76">
        <v>45107</v>
      </c>
      <c r="C287" s="37">
        <f t="shared" si="10"/>
        <v>28</v>
      </c>
    </row>
    <row r="288" spans="1:7" s="1" customFormat="1" x14ac:dyDescent="0.2">
      <c r="A288" s="37">
        <f t="shared" si="9"/>
        <v>6</v>
      </c>
      <c r="B288" s="76">
        <v>45291</v>
      </c>
      <c r="C288" s="37">
        <f t="shared" si="10"/>
        <v>28</v>
      </c>
    </row>
    <row r="289" spans="1:4" s="1" customFormat="1" x14ac:dyDescent="0.2">
      <c r="A289" s="37">
        <f t="shared" si="9"/>
        <v>7</v>
      </c>
      <c r="B289" s="76">
        <v>45473</v>
      </c>
      <c r="C289" s="37">
        <f t="shared" si="10"/>
        <v>28</v>
      </c>
    </row>
    <row r="290" spans="1:4" s="1" customFormat="1" x14ac:dyDescent="0.2">
      <c r="A290" s="37">
        <f t="shared" si="9"/>
        <v>8</v>
      </c>
      <c r="B290" s="76">
        <v>45657</v>
      </c>
      <c r="C290" s="37">
        <f t="shared" si="10"/>
        <v>28</v>
      </c>
    </row>
    <row r="291" spans="1:4" s="1" customFormat="1" x14ac:dyDescent="0.2">
      <c r="A291" s="37">
        <f t="shared" si="9"/>
        <v>9</v>
      </c>
      <c r="B291" s="76">
        <v>45838</v>
      </c>
      <c r="C291" s="37">
        <f t="shared" si="10"/>
        <v>28</v>
      </c>
    </row>
    <row r="292" spans="1:4" s="1" customFormat="1" x14ac:dyDescent="0.2">
      <c r="A292" s="37">
        <f t="shared" si="9"/>
        <v>10</v>
      </c>
      <c r="B292" s="76">
        <v>46022</v>
      </c>
      <c r="C292" s="37">
        <f t="shared" si="10"/>
        <v>28</v>
      </c>
    </row>
    <row r="293" spans="1:4" s="1" customFormat="1" x14ac:dyDescent="0.2">
      <c r="A293" s="37">
        <f t="shared" si="9"/>
        <v>11</v>
      </c>
      <c r="B293" s="76">
        <v>46203</v>
      </c>
      <c r="C293" s="37">
        <f t="shared" si="10"/>
        <v>28</v>
      </c>
    </row>
    <row r="294" spans="1:4" s="1" customFormat="1" x14ac:dyDescent="0.2">
      <c r="A294" s="37">
        <f t="shared" si="9"/>
        <v>12</v>
      </c>
      <c r="B294" s="76">
        <v>46387</v>
      </c>
      <c r="C294" s="37">
        <v>828</v>
      </c>
    </row>
    <row r="295" spans="1:4" s="1" customFormat="1" x14ac:dyDescent="0.2">
      <c r="C295" s="37"/>
    </row>
    <row r="296" spans="1:4" s="1" customFormat="1" x14ac:dyDescent="0.2">
      <c r="A296" s="1" t="s">
        <v>2526</v>
      </c>
      <c r="C296" s="131">
        <f>3%</f>
        <v>0.03</v>
      </c>
    </row>
    <row r="297" spans="1:4" s="1" customFormat="1" x14ac:dyDescent="0.2"/>
    <row r="298" spans="1:4" s="1" customFormat="1" x14ac:dyDescent="0.2">
      <c r="A298" s="1" t="s">
        <v>2525</v>
      </c>
      <c r="C298" s="173">
        <f>NPV(C296,C287:C294)</f>
        <v>828.07876875814179</v>
      </c>
    </row>
    <row r="299" spans="1:4" s="1" customFormat="1" x14ac:dyDescent="0.2"/>
    <row r="300" spans="1:4" s="1" customFormat="1" x14ac:dyDescent="0.2">
      <c r="A300" s="4" t="s">
        <v>284</v>
      </c>
    </row>
    <row r="301" spans="1:4" s="1" customFormat="1" x14ac:dyDescent="0.2">
      <c r="A301" s="1" t="s">
        <v>2512</v>
      </c>
      <c r="D301" s="83"/>
    </row>
    <row r="302" spans="1:4" s="1" customFormat="1" x14ac:dyDescent="0.2">
      <c r="A302" s="1" t="s">
        <v>2513</v>
      </c>
      <c r="D302" s="83"/>
    </row>
    <row r="303" spans="1:4" s="1" customFormat="1" x14ac:dyDescent="0.2">
      <c r="A303" s="1" t="s">
        <v>2514</v>
      </c>
      <c r="D303" s="83"/>
    </row>
    <row r="304" spans="1:4" s="1" customFormat="1" x14ac:dyDescent="0.2">
      <c r="A304" s="1" t="s">
        <v>2515</v>
      </c>
      <c r="D304" s="83"/>
    </row>
    <row r="305" spans="1:8" s="1" customFormat="1" x14ac:dyDescent="0.2">
      <c r="A305" s="1" t="s">
        <v>2516</v>
      </c>
      <c r="D305" s="83"/>
    </row>
    <row r="306" spans="1:8" s="1" customFormat="1" x14ac:dyDescent="0.2">
      <c r="D306" s="83"/>
    </row>
    <row r="307" spans="1:8" s="1" customFormat="1" x14ac:dyDescent="0.2">
      <c r="A307" s="1" t="s">
        <v>2517</v>
      </c>
      <c r="D307" s="83"/>
    </row>
    <row r="308" spans="1:8" s="1" customFormat="1" x14ac:dyDescent="0.2">
      <c r="A308" s="1" t="s">
        <v>2518</v>
      </c>
      <c r="D308" s="83"/>
    </row>
    <row r="309" spans="1:8" s="1" customFormat="1" x14ac:dyDescent="0.2">
      <c r="A309" s="1" t="s">
        <v>2519</v>
      </c>
      <c r="D309" s="83"/>
      <c r="G309" s="563">
        <v>-1</v>
      </c>
      <c r="H309" s="39" t="s">
        <v>2520</v>
      </c>
    </row>
    <row r="310" spans="1:8" s="1" customFormat="1" x14ac:dyDescent="0.2">
      <c r="D310" s="83"/>
      <c r="G310" s="563"/>
      <c r="H310" s="37" t="s">
        <v>286</v>
      </c>
    </row>
    <row r="311" spans="1:8" s="1" customFormat="1" x14ac:dyDescent="0.2">
      <c r="D311" s="83"/>
    </row>
    <row r="312" spans="1:8" s="1" customFormat="1" x14ac:dyDescent="0.2">
      <c r="A312" s="1" t="s">
        <v>313</v>
      </c>
      <c r="D312" s="83"/>
    </row>
    <row r="313" spans="1:8" s="1" customFormat="1" x14ac:dyDescent="0.2">
      <c r="A313" s="1" t="s">
        <v>314</v>
      </c>
      <c r="D313" s="83"/>
    </row>
    <row r="314" spans="1:8" s="1" customFormat="1" x14ac:dyDescent="0.2">
      <c r="A314" s="1" t="s">
        <v>315</v>
      </c>
      <c r="D314" s="83"/>
    </row>
    <row r="315" spans="1:8" s="1" customFormat="1" x14ac:dyDescent="0.2">
      <c r="A315" s="1" t="s">
        <v>316</v>
      </c>
      <c r="D315" s="83"/>
    </row>
    <row r="316" spans="1:8" s="1" customFormat="1" x14ac:dyDescent="0.2">
      <c r="D316" s="83"/>
    </row>
    <row r="317" spans="1:8" s="1" customFormat="1" x14ac:dyDescent="0.2">
      <c r="B317" s="1" t="s">
        <v>317</v>
      </c>
      <c r="D317" s="394">
        <f>28*4+828</f>
        <v>940</v>
      </c>
      <c r="F317" s="1" t="s">
        <v>318</v>
      </c>
    </row>
    <row r="318" spans="1:8" s="1" customFormat="1" x14ac:dyDescent="0.2">
      <c r="B318" s="1" t="s">
        <v>319</v>
      </c>
      <c r="D318" s="394">
        <v>811</v>
      </c>
      <c r="E318" s="1" t="s">
        <v>320</v>
      </c>
    </row>
    <row r="319" spans="1:8" s="1" customFormat="1" x14ac:dyDescent="0.2">
      <c r="B319" s="1" t="s">
        <v>321</v>
      </c>
      <c r="D319" s="395">
        <f>D317/D318-1</f>
        <v>0.15906288532675705</v>
      </c>
      <c r="F319" s="1" t="s">
        <v>322</v>
      </c>
    </row>
    <row r="320" spans="1:8" s="1" customFormat="1" x14ac:dyDescent="0.2">
      <c r="D320" s="83"/>
    </row>
    <row r="321" spans="1:13" s="1" customFormat="1" x14ac:dyDescent="0.2">
      <c r="A321" s="1" t="s">
        <v>323</v>
      </c>
      <c r="D321" s="83"/>
    </row>
    <row r="322" spans="1:13" s="1" customFormat="1" x14ac:dyDescent="0.2">
      <c r="A322" s="1" t="s">
        <v>324</v>
      </c>
      <c r="D322" s="83"/>
    </row>
    <row r="323" spans="1:13" s="1" customFormat="1" x14ac:dyDescent="0.2">
      <c r="D323" s="83"/>
    </row>
    <row r="324" spans="1:13" s="1" customFormat="1" x14ac:dyDescent="0.2">
      <c r="A324" s="1" t="s">
        <v>222</v>
      </c>
      <c r="D324" s="396">
        <f>(1+D319)^0.5-1</f>
        <v>7.6597828962494674E-2</v>
      </c>
      <c r="F324" s="1" t="s">
        <v>325</v>
      </c>
    </row>
    <row r="325" spans="1:13" s="1" customFormat="1" x14ac:dyDescent="0.2">
      <c r="D325" s="83"/>
    </row>
    <row r="326" spans="1:13" s="1" customFormat="1" x14ac:dyDescent="0.2">
      <c r="D326" s="83"/>
    </row>
    <row r="327" spans="1:13" s="1" customFormat="1" x14ac:dyDescent="0.2">
      <c r="A327" s="13"/>
      <c r="D327" s="83"/>
    </row>
    <row r="328" spans="1:13" s="1" customFormat="1" x14ac:dyDescent="0.2">
      <c r="A328" s="13"/>
      <c r="D328" s="83"/>
    </row>
    <row r="329" spans="1:13" s="1" customFormat="1" x14ac:dyDescent="0.2">
      <c r="A329" s="13"/>
      <c r="D329" s="83"/>
    </row>
    <row r="330" spans="1:13" s="1" customFormat="1" ht="17" thickBot="1" x14ac:dyDescent="0.25">
      <c r="D330" s="83"/>
    </row>
    <row r="331" spans="1:13" s="1" customFormat="1" ht="17" thickBot="1" x14ac:dyDescent="0.25">
      <c r="A331" s="578" t="s">
        <v>2529</v>
      </c>
      <c r="B331" s="579"/>
      <c r="C331" s="579"/>
      <c r="D331" s="579"/>
      <c r="E331" s="579"/>
      <c r="F331" s="579"/>
      <c r="G331" s="579"/>
      <c r="H331" s="580"/>
      <c r="J331" s="16" t="s">
        <v>2573</v>
      </c>
      <c r="K331" s="17"/>
      <c r="L331" s="17"/>
      <c r="M331" s="18"/>
    </row>
    <row r="332" spans="1:13" s="1" customFormat="1" x14ac:dyDescent="0.2">
      <c r="D332" s="83"/>
      <c r="J332" s="19" t="s">
        <v>2575</v>
      </c>
      <c r="M332" s="20"/>
    </row>
    <row r="333" spans="1:13" s="1" customFormat="1" x14ac:dyDescent="0.2">
      <c r="A333" s="81" t="s">
        <v>2527</v>
      </c>
      <c r="B333" s="38"/>
      <c r="C333" s="38"/>
      <c r="D333" s="38"/>
      <c r="E333" s="38"/>
      <c r="F333" s="38"/>
      <c r="G333" s="45"/>
      <c r="H333" s="38"/>
      <c r="J333" s="19" t="s">
        <v>2570</v>
      </c>
      <c r="M333" s="20"/>
    </row>
    <row r="334" spans="1:13" s="1" customFormat="1" x14ac:dyDescent="0.2">
      <c r="A334" s="1" t="s">
        <v>326</v>
      </c>
      <c r="J334" s="19" t="s">
        <v>2576</v>
      </c>
      <c r="M334" s="20"/>
    </row>
    <row r="335" spans="1:13" s="1" customFormat="1" x14ac:dyDescent="0.2">
      <c r="A335" s="1" t="s">
        <v>327</v>
      </c>
      <c r="J335" s="19" t="s">
        <v>2578</v>
      </c>
      <c r="M335" s="20"/>
    </row>
    <row r="336" spans="1:13" s="1" customFormat="1" x14ac:dyDescent="0.2">
      <c r="A336" s="1" t="s">
        <v>328</v>
      </c>
      <c r="J336" s="19" t="s">
        <v>2577</v>
      </c>
      <c r="M336" s="20"/>
    </row>
    <row r="337" spans="1:13" s="1" customFormat="1" x14ac:dyDescent="0.2">
      <c r="A337" s="1" t="s">
        <v>329</v>
      </c>
      <c r="J337" s="19" t="s">
        <v>2574</v>
      </c>
      <c r="M337" s="20"/>
    </row>
    <row r="338" spans="1:13" s="1" customFormat="1" x14ac:dyDescent="0.2">
      <c r="A338" s="1" t="s">
        <v>282</v>
      </c>
      <c r="J338" s="19" t="s">
        <v>2579</v>
      </c>
      <c r="M338" s="20"/>
    </row>
    <row r="339" spans="1:13" s="1" customFormat="1" x14ac:dyDescent="0.2">
      <c r="A339" s="1" t="s">
        <v>292</v>
      </c>
      <c r="J339" s="19" t="s">
        <v>2571</v>
      </c>
      <c r="M339" s="20"/>
    </row>
    <row r="340" spans="1:13" s="1" customFormat="1" x14ac:dyDescent="0.2">
      <c r="A340" s="1" t="s">
        <v>293</v>
      </c>
      <c r="J340" s="19" t="s">
        <v>2572</v>
      </c>
      <c r="M340" s="20"/>
    </row>
    <row r="341" spans="1:13" s="1" customFormat="1" ht="17" thickBot="1" x14ac:dyDescent="0.25">
      <c r="J341" s="21" t="s">
        <v>2580</v>
      </c>
      <c r="K341" s="22"/>
      <c r="L341" s="22"/>
      <c r="M341" s="23"/>
    </row>
    <row r="342" spans="1:13" s="1" customFormat="1" x14ac:dyDescent="0.2">
      <c r="A342" s="81" t="s">
        <v>2530</v>
      </c>
      <c r="B342" s="38"/>
      <c r="C342" s="38"/>
      <c r="D342" s="38"/>
      <c r="E342" s="38"/>
      <c r="F342" s="38"/>
      <c r="G342" s="45"/>
      <c r="H342" s="38"/>
    </row>
    <row r="343" spans="1:13" s="1" customFormat="1" x14ac:dyDescent="0.2">
      <c r="A343" s="1" t="s">
        <v>2531</v>
      </c>
    </row>
    <row r="344" spans="1:13" s="1" customFormat="1" x14ac:dyDescent="0.2">
      <c r="A344" s="1" t="s">
        <v>2532</v>
      </c>
    </row>
    <row r="345" spans="1:13" s="1" customFormat="1" x14ac:dyDescent="0.2">
      <c r="A345" s="1" t="s">
        <v>232</v>
      </c>
    </row>
    <row r="346" spans="1:13" s="1" customFormat="1" x14ac:dyDescent="0.2">
      <c r="A346" s="1" t="s">
        <v>2533</v>
      </c>
    </row>
    <row r="347" spans="1:13" s="1" customFormat="1" x14ac:dyDescent="0.2">
      <c r="A347" s="1" t="s">
        <v>2534</v>
      </c>
    </row>
    <row r="348" spans="1:13" s="1" customFormat="1" x14ac:dyDescent="0.2">
      <c r="A348" s="1" t="s">
        <v>2535</v>
      </c>
    </row>
    <row r="349" spans="1:13" s="1" customFormat="1" x14ac:dyDescent="0.2">
      <c r="D349" s="83"/>
    </row>
    <row r="350" spans="1:13" s="1" customFormat="1" x14ac:dyDescent="0.2">
      <c r="A350" s="81" t="s">
        <v>2396</v>
      </c>
      <c r="B350" s="38"/>
      <c r="C350" s="38"/>
      <c r="D350" s="38"/>
      <c r="E350" s="38"/>
      <c r="F350" s="38"/>
      <c r="G350" s="45"/>
      <c r="H350" s="38"/>
    </row>
    <row r="351" spans="1:13" s="1" customFormat="1" x14ac:dyDescent="0.2">
      <c r="A351" s="1" t="s">
        <v>2569</v>
      </c>
    </row>
    <row r="352" spans="1:13" s="1" customFormat="1" x14ac:dyDescent="0.2">
      <c r="A352" s="1" t="s">
        <v>2548</v>
      </c>
    </row>
    <row r="353" spans="1:8" s="1" customFormat="1" x14ac:dyDescent="0.2"/>
    <row r="354" spans="1:8" s="1" customFormat="1" x14ac:dyDescent="0.2">
      <c r="A354" s="81" t="s">
        <v>2554</v>
      </c>
      <c r="B354" s="38"/>
      <c r="C354" s="38"/>
      <c r="D354" s="38"/>
      <c r="E354" s="38"/>
      <c r="F354" s="38"/>
      <c r="G354" s="45"/>
      <c r="H354" s="38"/>
    </row>
    <row r="355" spans="1:8" s="1" customFormat="1" x14ac:dyDescent="0.2">
      <c r="A355" s="1" t="s">
        <v>2583</v>
      </c>
    </row>
    <row r="356" spans="1:8" s="1" customFormat="1" x14ac:dyDescent="0.2">
      <c r="A356" s="1" t="s">
        <v>2556</v>
      </c>
    </row>
    <row r="357" spans="1:8" s="1" customFormat="1" x14ac:dyDescent="0.2">
      <c r="A357" s="1" t="s">
        <v>2555</v>
      </c>
    </row>
    <row r="358" spans="1:8" s="1" customFormat="1" x14ac:dyDescent="0.2"/>
    <row r="359" spans="1:8" s="1" customFormat="1" x14ac:dyDescent="0.2">
      <c r="A359" s="81" t="s">
        <v>2560</v>
      </c>
      <c r="B359" s="38"/>
      <c r="C359" s="38"/>
      <c r="D359" s="38"/>
      <c r="E359" s="38"/>
      <c r="F359" s="38"/>
      <c r="G359" s="45"/>
      <c r="H359" s="38"/>
    </row>
    <row r="360" spans="1:8" s="1" customFormat="1" x14ac:dyDescent="0.2">
      <c r="A360" s="1" t="s">
        <v>2561</v>
      </c>
    </row>
    <row r="361" spans="1:8" s="1" customFormat="1" x14ac:dyDescent="0.2">
      <c r="A361" s="1" t="s">
        <v>2562</v>
      </c>
    </row>
    <row r="362" spans="1:8" s="1" customFormat="1" x14ac:dyDescent="0.2">
      <c r="A362" s="1" t="s">
        <v>2585</v>
      </c>
    </row>
    <row r="363" spans="1:8" s="1" customFormat="1" x14ac:dyDescent="0.2">
      <c r="A363" s="1" t="s">
        <v>2584</v>
      </c>
    </row>
    <row r="364" spans="1:8" s="1" customFormat="1" x14ac:dyDescent="0.2"/>
    <row r="365" spans="1:8" s="1" customFormat="1" x14ac:dyDescent="0.2"/>
    <row r="366" spans="1:8" s="1" customFormat="1" x14ac:dyDescent="0.2"/>
    <row r="367" spans="1:8" s="1" customFormat="1" x14ac:dyDescent="0.2"/>
    <row r="368" spans="1:8" s="1" customFormat="1" ht="17" thickBot="1" x14ac:dyDescent="0.25"/>
    <row r="369" spans="1:8" s="1" customFormat="1" ht="17" thickBot="1" x14ac:dyDescent="0.25">
      <c r="A369" s="578" t="s">
        <v>2568</v>
      </c>
      <c r="B369" s="579"/>
      <c r="C369" s="579"/>
      <c r="D369" s="579"/>
      <c r="E369" s="579"/>
      <c r="F369" s="579"/>
      <c r="G369" s="579"/>
      <c r="H369" s="580"/>
    </row>
    <row r="370" spans="1:8" s="1" customFormat="1" x14ac:dyDescent="0.2"/>
    <row r="371" spans="1:8" s="1" customFormat="1" x14ac:dyDescent="0.2"/>
    <row r="372" spans="1:8" s="1" customFormat="1" x14ac:dyDescent="0.2"/>
    <row r="373" spans="1:8" s="1" customFormat="1" x14ac:dyDescent="0.2"/>
    <row r="374" spans="1:8" s="1" customFormat="1" x14ac:dyDescent="0.2"/>
    <row r="375" spans="1:8" x14ac:dyDescent="0.2">
      <c r="F375" s="397"/>
    </row>
    <row r="376" spans="1:8" x14ac:dyDescent="0.2">
      <c r="F376" s="397"/>
    </row>
    <row r="377" spans="1:8" x14ac:dyDescent="0.2">
      <c r="F377" s="397"/>
    </row>
    <row r="379" spans="1:8" s="1" customFormat="1" x14ac:dyDescent="0.2">
      <c r="A379" s="81" t="s">
        <v>2528</v>
      </c>
      <c r="B379" s="38"/>
      <c r="C379" s="38"/>
      <c r="D379" s="38"/>
      <c r="E379" s="38"/>
      <c r="F379" s="38"/>
      <c r="G379" s="45"/>
      <c r="H379" s="38"/>
    </row>
    <row r="380" spans="1:8" s="1" customFormat="1" x14ac:dyDescent="0.2">
      <c r="A380" s="1" t="s">
        <v>326</v>
      </c>
    </row>
    <row r="381" spans="1:8" s="1" customFormat="1" x14ac:dyDescent="0.2">
      <c r="A381" s="1" t="s">
        <v>327</v>
      </c>
    </row>
    <row r="382" spans="1:8" s="1" customFormat="1" x14ac:dyDescent="0.2">
      <c r="A382" s="1" t="s">
        <v>328</v>
      </c>
    </row>
    <row r="383" spans="1:8" s="1" customFormat="1" x14ac:dyDescent="0.2">
      <c r="A383" s="1" t="s">
        <v>329</v>
      </c>
    </row>
    <row r="384" spans="1:8" s="1" customFormat="1" x14ac:dyDescent="0.2">
      <c r="A384" s="1" t="s">
        <v>282</v>
      </c>
    </row>
    <row r="385" spans="1:6" s="1" customFormat="1" x14ac:dyDescent="0.2">
      <c r="A385" s="1" t="s">
        <v>292</v>
      </c>
    </row>
    <row r="386" spans="1:6" s="1" customFormat="1" x14ac:dyDescent="0.2">
      <c r="A386" s="1" t="s">
        <v>293</v>
      </c>
    </row>
    <row r="387" spans="1:6" s="1" customFormat="1" x14ac:dyDescent="0.2">
      <c r="D387" s="83"/>
    </row>
    <row r="388" spans="1:6" s="1" customFormat="1" x14ac:dyDescent="0.2">
      <c r="A388" s="4" t="s">
        <v>198</v>
      </c>
      <c r="D388" s="83"/>
    </row>
    <row r="389" spans="1:6" s="1" customFormat="1" x14ac:dyDescent="0.2">
      <c r="D389" s="83"/>
    </row>
    <row r="390" spans="1:6" s="1" customFormat="1" x14ac:dyDescent="0.2">
      <c r="A390" s="4" t="s">
        <v>330</v>
      </c>
      <c r="D390" s="116">
        <f>(1+8.243216%)^0.25-1</f>
        <v>2.0000000000000018E-2</v>
      </c>
      <c r="E390" s="1" t="s">
        <v>117</v>
      </c>
    </row>
    <row r="391" spans="1:6" s="1" customFormat="1" x14ac:dyDescent="0.2">
      <c r="D391" s="117">
        <f>3*4-3</f>
        <v>9</v>
      </c>
      <c r="E391" s="1" t="s">
        <v>119</v>
      </c>
    </row>
    <row r="392" spans="1:6" s="1" customFormat="1" x14ac:dyDescent="0.2">
      <c r="D392" s="119">
        <f>PV(D390,D391,D393,D394)</f>
        <v>-520.40559176591762</v>
      </c>
      <c r="E392" s="1" t="s">
        <v>121</v>
      </c>
    </row>
    <row r="393" spans="1:6" s="1" customFormat="1" x14ac:dyDescent="0.2">
      <c r="D393" s="118">
        <f>2.5%*500</f>
        <v>12.5</v>
      </c>
      <c r="E393" s="1" t="s">
        <v>123</v>
      </c>
    </row>
    <row r="394" spans="1:6" s="1" customFormat="1" x14ac:dyDescent="0.2">
      <c r="D394" s="117">
        <v>500</v>
      </c>
      <c r="E394" s="1" t="s">
        <v>125</v>
      </c>
    </row>
    <row r="395" spans="1:6" s="1" customFormat="1" x14ac:dyDescent="0.2">
      <c r="D395" s="83"/>
    </row>
    <row r="396" spans="1:6" s="1" customFormat="1" x14ac:dyDescent="0.2">
      <c r="A396" s="1" t="s">
        <v>331</v>
      </c>
      <c r="D396" s="83"/>
    </row>
    <row r="397" spans="1:6" s="1" customFormat="1" x14ac:dyDescent="0.2">
      <c r="A397" s="1" t="s">
        <v>332</v>
      </c>
      <c r="D397" s="83"/>
    </row>
    <row r="398" spans="1:6" s="1" customFormat="1" x14ac:dyDescent="0.2">
      <c r="A398" s="1" t="s">
        <v>333</v>
      </c>
      <c r="D398" s="83"/>
      <c r="E398" s="1" t="s">
        <v>334</v>
      </c>
      <c r="F398" s="1" t="s">
        <v>335</v>
      </c>
    </row>
    <row r="399" spans="1:6" s="1" customFormat="1" x14ac:dyDescent="0.2">
      <c r="D399" s="83"/>
    </row>
    <row r="400" spans="1:6" s="1" customFormat="1" x14ac:dyDescent="0.2">
      <c r="A400" s="1" t="s">
        <v>336</v>
      </c>
      <c r="B400" s="120"/>
      <c r="D400" s="83"/>
    </row>
    <row r="401" spans="1:6" s="1" customFormat="1" x14ac:dyDescent="0.2">
      <c r="A401" s="1" t="s">
        <v>337</v>
      </c>
      <c r="B401" s="120"/>
      <c r="D401" s="83"/>
    </row>
    <row r="402" spans="1:6" s="1" customFormat="1" x14ac:dyDescent="0.2">
      <c r="A402" s="1" t="s">
        <v>338</v>
      </c>
      <c r="D402" s="83"/>
    </row>
    <row r="403" spans="1:6" s="1" customFormat="1" x14ac:dyDescent="0.2">
      <c r="A403" s="1" t="s">
        <v>339</v>
      </c>
      <c r="D403" s="83"/>
    </row>
    <row r="404" spans="1:6" s="1" customFormat="1" x14ac:dyDescent="0.2">
      <c r="D404" s="83"/>
    </row>
    <row r="405" spans="1:6" s="1" customFormat="1" x14ac:dyDescent="0.2">
      <c r="A405" s="1" t="s">
        <v>340</v>
      </c>
      <c r="D405" s="83"/>
    </row>
    <row r="406" spans="1:6" s="1" customFormat="1" x14ac:dyDescent="0.2">
      <c r="A406" s="1" t="s">
        <v>341</v>
      </c>
      <c r="D406" s="83"/>
    </row>
    <row r="407" spans="1:6" s="1" customFormat="1" x14ac:dyDescent="0.2">
      <c r="D407" s="83"/>
    </row>
    <row r="408" spans="1:6" s="1" customFormat="1" x14ac:dyDescent="0.2">
      <c r="A408" s="1" t="s">
        <v>342</v>
      </c>
      <c r="D408" s="83"/>
    </row>
    <row r="409" spans="1:6" s="1" customFormat="1" x14ac:dyDescent="0.2">
      <c r="D409" s="83"/>
    </row>
    <row r="410" spans="1:6" s="1" customFormat="1" x14ac:dyDescent="0.2">
      <c r="A410" s="1" t="s">
        <v>343</v>
      </c>
      <c r="D410" s="83"/>
    </row>
    <row r="411" spans="1:6" s="1" customFormat="1" x14ac:dyDescent="0.2">
      <c r="D411" s="83"/>
    </row>
    <row r="412" spans="1:6" s="1" customFormat="1" x14ac:dyDescent="0.2">
      <c r="A412" s="4" t="s">
        <v>344</v>
      </c>
      <c r="D412" s="83"/>
    </row>
    <row r="413" spans="1:6" s="1" customFormat="1" x14ac:dyDescent="0.2">
      <c r="A413" s="1" t="s">
        <v>345</v>
      </c>
      <c r="D413" s="83"/>
    </row>
    <row r="414" spans="1:6" s="1" customFormat="1" x14ac:dyDescent="0.2">
      <c r="D414" s="83"/>
    </row>
    <row r="415" spans="1:6" s="1" customFormat="1" x14ac:dyDescent="0.2">
      <c r="D415" s="118">
        <f>3*12.5-D392</f>
        <v>557.90559176591762</v>
      </c>
      <c r="F415" s="1" t="s">
        <v>346</v>
      </c>
    </row>
    <row r="416" spans="1:6" s="1" customFormat="1" x14ac:dyDescent="0.2">
      <c r="D416" s="118"/>
    </row>
    <row r="417" spans="1:6" s="1" customFormat="1" x14ac:dyDescent="0.2">
      <c r="A417" s="1" t="s">
        <v>347</v>
      </c>
      <c r="D417" s="118"/>
    </row>
    <row r="418" spans="1:6" s="1" customFormat="1" x14ac:dyDescent="0.2">
      <c r="D418" s="117">
        <v>495</v>
      </c>
      <c r="F418" s="1" t="s">
        <v>348</v>
      </c>
    </row>
    <row r="419" spans="1:6" s="1" customFormat="1" x14ac:dyDescent="0.2">
      <c r="D419" s="83"/>
    </row>
    <row r="420" spans="1:6" s="1" customFormat="1" x14ac:dyDescent="0.2">
      <c r="A420" s="1" t="s">
        <v>349</v>
      </c>
      <c r="D420" s="83"/>
    </row>
    <row r="421" spans="1:6" s="1" customFormat="1" x14ac:dyDescent="0.2">
      <c r="D421" s="83">
        <f>D415/D418-1</f>
        <v>0.12708200356751043</v>
      </c>
      <c r="F421" s="1" t="s">
        <v>350</v>
      </c>
    </row>
    <row r="422" spans="1:6" s="1" customFormat="1" x14ac:dyDescent="0.2">
      <c r="D422" s="83"/>
    </row>
    <row r="423" spans="1:6" s="1" customFormat="1" x14ac:dyDescent="0.2">
      <c r="A423" s="1" t="s">
        <v>351</v>
      </c>
      <c r="D423" s="83"/>
    </row>
    <row r="424" spans="1:6" s="1" customFormat="1" x14ac:dyDescent="0.2">
      <c r="A424" s="1" t="s">
        <v>352</v>
      </c>
      <c r="D424" s="83"/>
    </row>
    <row r="425" spans="1:6" s="1" customFormat="1" x14ac:dyDescent="0.2">
      <c r="A425" s="1" t="s">
        <v>353</v>
      </c>
      <c r="D425" s="83"/>
    </row>
    <row r="426" spans="1:6" s="1" customFormat="1" x14ac:dyDescent="0.2">
      <c r="D426" s="83"/>
    </row>
    <row r="427" spans="1:6" s="1" customFormat="1" x14ac:dyDescent="0.2">
      <c r="A427" s="1" t="s">
        <v>354</v>
      </c>
      <c r="D427" s="89">
        <f>(1+D421)^(1/0.75)-1</f>
        <v>0.17293520192466905</v>
      </c>
      <c r="F427" s="1" t="s">
        <v>355</v>
      </c>
    </row>
    <row r="428" spans="1:6" s="1" customFormat="1" x14ac:dyDescent="0.2">
      <c r="D428" s="83"/>
    </row>
    <row r="429" spans="1:6" s="1" customFormat="1" x14ac:dyDescent="0.2">
      <c r="A429" s="1" t="s">
        <v>356</v>
      </c>
      <c r="D429" s="83"/>
    </row>
    <row r="430" spans="1:6" s="1" customFormat="1" x14ac:dyDescent="0.2">
      <c r="A430" s="1" t="s">
        <v>357</v>
      </c>
      <c r="D430" s="83"/>
    </row>
    <row r="431" spans="1:6" s="1" customFormat="1" x14ac:dyDescent="0.2">
      <c r="A431" s="1" t="s">
        <v>358</v>
      </c>
      <c r="D431" s="83"/>
    </row>
    <row r="433" spans="1:8" s="1" customFormat="1" x14ac:dyDescent="0.2">
      <c r="A433" s="81" t="s">
        <v>2536</v>
      </c>
      <c r="B433" s="38"/>
      <c r="C433" s="38"/>
      <c r="D433" s="38"/>
      <c r="E433" s="38"/>
      <c r="F433" s="38"/>
      <c r="G433" s="45"/>
      <c r="H433" s="38"/>
    </row>
    <row r="434" spans="1:8" s="1" customFormat="1" x14ac:dyDescent="0.2">
      <c r="A434" s="1" t="s">
        <v>2531</v>
      </c>
    </row>
    <row r="435" spans="1:8" s="1" customFormat="1" x14ac:dyDescent="0.2">
      <c r="A435" s="1" t="s">
        <v>2532</v>
      </c>
    </row>
    <row r="436" spans="1:8" s="1" customFormat="1" x14ac:dyDescent="0.2">
      <c r="A436" s="1" t="s">
        <v>232</v>
      </c>
    </row>
    <row r="437" spans="1:8" s="1" customFormat="1" x14ac:dyDescent="0.2">
      <c r="A437" s="1" t="s">
        <v>2533</v>
      </c>
    </row>
    <row r="438" spans="1:8" s="1" customFormat="1" x14ac:dyDescent="0.2">
      <c r="A438" s="1" t="s">
        <v>2534</v>
      </c>
    </row>
    <row r="439" spans="1:8" s="1" customFormat="1" x14ac:dyDescent="0.2">
      <c r="A439" s="1" t="s">
        <v>2535</v>
      </c>
    </row>
    <row r="441" spans="1:8" x14ac:dyDescent="0.2">
      <c r="A441" s="4" t="s">
        <v>2538</v>
      </c>
    </row>
    <row r="442" spans="1:8" x14ac:dyDescent="0.2">
      <c r="A442" s="1" t="s">
        <v>2537</v>
      </c>
    </row>
    <row r="443" spans="1:8" x14ac:dyDescent="0.2">
      <c r="A443" s="1"/>
    </row>
    <row r="444" spans="1:8" x14ac:dyDescent="0.2">
      <c r="B444" s="37"/>
      <c r="C444" s="37"/>
      <c r="D444" s="398" t="s">
        <v>116</v>
      </c>
      <c r="E444" s="398" t="s">
        <v>115</v>
      </c>
      <c r="F444" s="398" t="s">
        <v>114</v>
      </c>
    </row>
    <row r="445" spans="1:8" x14ac:dyDescent="0.2">
      <c r="B445" s="398" t="s">
        <v>12</v>
      </c>
      <c r="C445" s="398" t="s">
        <v>202</v>
      </c>
      <c r="D445" s="398" t="s">
        <v>52</v>
      </c>
      <c r="E445" s="398" t="s">
        <v>52</v>
      </c>
      <c r="F445" s="398" t="s">
        <v>52</v>
      </c>
    </row>
    <row r="446" spans="1:8" x14ac:dyDescent="0.2">
      <c r="B446" s="399">
        <v>42736</v>
      </c>
      <c r="C446" s="398">
        <v>0</v>
      </c>
      <c r="D446" s="398">
        <v>-500</v>
      </c>
      <c r="E446" s="398">
        <v>-400</v>
      </c>
      <c r="F446" s="398">
        <v>-550</v>
      </c>
    </row>
    <row r="447" spans="1:8" x14ac:dyDescent="0.2">
      <c r="B447" s="399">
        <v>43100</v>
      </c>
      <c r="C447" s="398">
        <f>C446+1</f>
        <v>1</v>
      </c>
      <c r="D447" s="398">
        <f>7%*500</f>
        <v>35</v>
      </c>
      <c r="E447" s="398">
        <f>7%*500</f>
        <v>35</v>
      </c>
      <c r="F447" s="398">
        <f>7%*500</f>
        <v>35</v>
      </c>
    </row>
    <row r="448" spans="1:8" x14ac:dyDescent="0.2">
      <c r="B448" s="399">
        <v>43465</v>
      </c>
      <c r="C448" s="398">
        <f t="shared" ref="C448:C454" si="11">C447+1</f>
        <v>2</v>
      </c>
      <c r="D448" s="398">
        <f t="shared" ref="D448:D453" si="12">D447</f>
        <v>35</v>
      </c>
      <c r="E448" s="398">
        <f t="shared" ref="E448:F453" si="13">E447</f>
        <v>35</v>
      </c>
      <c r="F448" s="398">
        <f t="shared" si="13"/>
        <v>35</v>
      </c>
    </row>
    <row r="449" spans="1:7" x14ac:dyDescent="0.2">
      <c r="B449" s="399">
        <v>43830</v>
      </c>
      <c r="C449" s="398">
        <f t="shared" si="11"/>
        <v>3</v>
      </c>
      <c r="D449" s="398">
        <f t="shared" si="12"/>
        <v>35</v>
      </c>
      <c r="E449" s="398">
        <f t="shared" si="13"/>
        <v>35</v>
      </c>
      <c r="F449" s="398">
        <f t="shared" si="13"/>
        <v>35</v>
      </c>
    </row>
    <row r="450" spans="1:7" x14ac:dyDescent="0.2">
      <c r="B450" s="399">
        <v>44196</v>
      </c>
      <c r="C450" s="398">
        <f t="shared" si="11"/>
        <v>4</v>
      </c>
      <c r="D450" s="398">
        <f t="shared" si="12"/>
        <v>35</v>
      </c>
      <c r="E450" s="398">
        <f t="shared" si="13"/>
        <v>35</v>
      </c>
      <c r="F450" s="398">
        <f t="shared" si="13"/>
        <v>35</v>
      </c>
    </row>
    <row r="451" spans="1:7" x14ac:dyDescent="0.2">
      <c r="B451" s="399">
        <v>44561</v>
      </c>
      <c r="C451" s="398">
        <f t="shared" si="11"/>
        <v>5</v>
      </c>
      <c r="D451" s="398">
        <f t="shared" si="12"/>
        <v>35</v>
      </c>
      <c r="E451" s="398">
        <f t="shared" si="13"/>
        <v>35</v>
      </c>
      <c r="F451" s="398">
        <f t="shared" si="13"/>
        <v>35</v>
      </c>
    </row>
    <row r="452" spans="1:7" x14ac:dyDescent="0.2">
      <c r="B452" s="399">
        <v>44926</v>
      </c>
      <c r="C452" s="398">
        <f t="shared" si="11"/>
        <v>6</v>
      </c>
      <c r="D452" s="398">
        <f t="shared" si="12"/>
        <v>35</v>
      </c>
      <c r="E452" s="398">
        <f t="shared" si="13"/>
        <v>35</v>
      </c>
      <c r="F452" s="398">
        <f t="shared" si="13"/>
        <v>35</v>
      </c>
    </row>
    <row r="453" spans="1:7" x14ac:dyDescent="0.2">
      <c r="B453" s="399">
        <v>45291</v>
      </c>
      <c r="C453" s="398">
        <f t="shared" si="11"/>
        <v>7</v>
      </c>
      <c r="D453" s="398">
        <f t="shared" si="12"/>
        <v>35</v>
      </c>
      <c r="E453" s="398">
        <f t="shared" si="13"/>
        <v>35</v>
      </c>
      <c r="F453" s="398">
        <f t="shared" si="13"/>
        <v>35</v>
      </c>
    </row>
    <row r="454" spans="1:7" x14ac:dyDescent="0.2">
      <c r="B454" s="399">
        <v>45657</v>
      </c>
      <c r="C454" s="398">
        <f t="shared" si="11"/>
        <v>8</v>
      </c>
      <c r="D454" s="398">
        <v>535</v>
      </c>
      <c r="E454" s="398">
        <v>535</v>
      </c>
      <c r="F454" s="398">
        <v>535</v>
      </c>
    </row>
    <row r="455" spans="1:7" x14ac:dyDescent="0.2">
      <c r="B455" s="37"/>
      <c r="C455" s="37"/>
      <c r="D455" s="37"/>
      <c r="E455" s="37"/>
      <c r="F455" s="37"/>
    </row>
    <row r="456" spans="1:7" x14ac:dyDescent="0.2">
      <c r="B456" s="53" t="s">
        <v>2460</v>
      </c>
      <c r="C456" s="37"/>
      <c r="D456" s="400">
        <f>IRR(D446:D454)</f>
        <v>7.0000000000009832E-2</v>
      </c>
      <c r="E456" s="114">
        <f>IRR(E446:E454)</f>
        <v>0.10868167743436774</v>
      </c>
      <c r="F456" s="114">
        <f>IRR(F446:F454)</f>
        <v>5.4260274259898988E-2</v>
      </c>
    </row>
    <row r="457" spans="1:7" s="1" customFormat="1" x14ac:dyDescent="0.2"/>
    <row r="458" spans="1:7" s="1" customFormat="1" x14ac:dyDescent="0.2">
      <c r="A458" s="4" t="s">
        <v>2539</v>
      </c>
    </row>
    <row r="459" spans="1:7" s="1" customFormat="1" x14ac:dyDescent="0.2">
      <c r="D459" s="37" t="s">
        <v>2540</v>
      </c>
      <c r="E459" s="37" t="s">
        <v>2541</v>
      </c>
      <c r="F459" s="37" t="s">
        <v>2542</v>
      </c>
    </row>
    <row r="460" spans="1:7" s="1" customFormat="1" x14ac:dyDescent="0.2">
      <c r="D460" s="400">
        <f>RATE(D461,D462,D463,D464)</f>
        <v>7.000000000005098E-2</v>
      </c>
      <c r="E460" s="114">
        <f>RATE(E461,E462,E463,E464)</f>
        <v>0.10868167743486738</v>
      </c>
      <c r="F460" s="114">
        <f>RATE(F461,F462,F463,F464)</f>
        <v>5.4260274265998117E-2</v>
      </c>
      <c r="G460" s="1" t="s">
        <v>117</v>
      </c>
    </row>
    <row r="461" spans="1:7" s="1" customFormat="1" x14ac:dyDescent="0.2">
      <c r="D461" s="37">
        <v>8</v>
      </c>
      <c r="E461" s="37">
        <v>8</v>
      </c>
      <c r="F461" s="37">
        <v>8</v>
      </c>
      <c r="G461" s="1" t="s">
        <v>119</v>
      </c>
    </row>
    <row r="462" spans="1:7" s="1" customFormat="1" x14ac:dyDescent="0.2">
      <c r="D462" s="37">
        <v>35</v>
      </c>
      <c r="E462" s="37">
        <v>35</v>
      </c>
      <c r="F462" s="37">
        <v>35</v>
      </c>
      <c r="G462" s="1" t="s">
        <v>123</v>
      </c>
    </row>
    <row r="463" spans="1:7" s="1" customFormat="1" x14ac:dyDescent="0.2">
      <c r="D463" s="37">
        <v>-500</v>
      </c>
      <c r="E463" s="37">
        <v>-400</v>
      </c>
      <c r="F463" s="37">
        <f>-550</f>
        <v>-550</v>
      </c>
      <c r="G463" s="1" t="s">
        <v>121</v>
      </c>
    </row>
    <row r="464" spans="1:7" s="1" customFormat="1" x14ac:dyDescent="0.2">
      <c r="D464" s="37">
        <v>500</v>
      </c>
      <c r="E464" s="37">
        <v>500</v>
      </c>
      <c r="F464" s="37">
        <v>500</v>
      </c>
      <c r="G464" s="1" t="s">
        <v>125</v>
      </c>
    </row>
    <row r="465" spans="1:8" s="1" customFormat="1" x14ac:dyDescent="0.2"/>
    <row r="466" spans="1:8" s="1" customFormat="1" x14ac:dyDescent="0.2">
      <c r="A466" s="1" t="s">
        <v>2543</v>
      </c>
    </row>
    <row r="467" spans="1:8" s="1" customFormat="1" x14ac:dyDescent="0.2">
      <c r="A467" s="1" t="s">
        <v>2544</v>
      </c>
    </row>
    <row r="468" spans="1:8" x14ac:dyDescent="0.2">
      <c r="A468" s="1" t="s">
        <v>2545</v>
      </c>
      <c r="B468" s="1"/>
      <c r="C468" s="1"/>
    </row>
    <row r="469" spans="1:8" x14ac:dyDescent="0.2">
      <c r="A469" s="1" t="s">
        <v>2546</v>
      </c>
      <c r="B469" s="1"/>
      <c r="C469" s="1"/>
    </row>
    <row r="470" spans="1:8" x14ac:dyDescent="0.2">
      <c r="A470" s="1" t="s">
        <v>2547</v>
      </c>
      <c r="B470" s="1"/>
      <c r="C470" s="1"/>
    </row>
    <row r="472" spans="1:8" s="1" customFormat="1" x14ac:dyDescent="0.2">
      <c r="A472" s="81" t="s">
        <v>2551</v>
      </c>
      <c r="B472" s="38"/>
      <c r="C472" s="38"/>
      <c r="D472" s="38"/>
      <c r="E472" s="38"/>
      <c r="F472" s="38"/>
      <c r="G472" s="45"/>
      <c r="H472" s="38"/>
    </row>
    <row r="473" spans="1:8" s="1" customFormat="1" x14ac:dyDescent="0.2">
      <c r="A473" s="1" t="s">
        <v>2582</v>
      </c>
    </row>
    <row r="474" spans="1:8" s="1" customFormat="1" x14ac:dyDescent="0.2">
      <c r="A474" s="1" t="s">
        <v>2548</v>
      </c>
    </row>
    <row r="475" spans="1:8" s="1" customFormat="1" x14ac:dyDescent="0.2"/>
    <row r="476" spans="1:8" s="1" customFormat="1" x14ac:dyDescent="0.2">
      <c r="A476" s="1" t="s">
        <v>198</v>
      </c>
    </row>
    <row r="477" spans="1:8" s="1" customFormat="1" x14ac:dyDescent="0.2">
      <c r="A477" s="1" t="s">
        <v>2552</v>
      </c>
    </row>
    <row r="478" spans="1:8" s="1" customFormat="1" x14ac:dyDescent="0.2">
      <c r="A478" s="1" t="s">
        <v>2553</v>
      </c>
    </row>
    <row r="479" spans="1:8" s="1" customFormat="1" x14ac:dyDescent="0.2">
      <c r="A479" s="1" t="s">
        <v>2557</v>
      </c>
    </row>
    <row r="480" spans="1:8" s="1" customFormat="1" x14ac:dyDescent="0.2"/>
    <row r="481" spans="1:8" s="1" customFormat="1" x14ac:dyDescent="0.2">
      <c r="B481" s="1" t="s">
        <v>12</v>
      </c>
      <c r="C481" s="1" t="s">
        <v>202</v>
      </c>
      <c r="D481" s="1" t="s">
        <v>203</v>
      </c>
      <c r="E481" s="1" t="s">
        <v>274</v>
      </c>
      <c r="F481" s="1" t="s">
        <v>2245</v>
      </c>
      <c r="H481" s="1" t="s">
        <v>206</v>
      </c>
    </row>
    <row r="482" spans="1:8" s="1" customFormat="1" x14ac:dyDescent="0.2">
      <c r="B482" s="24">
        <v>44197</v>
      </c>
      <c r="C482" s="1">
        <v>0</v>
      </c>
      <c r="F482" s="1">
        <v>-87</v>
      </c>
      <c r="H482" s="1">
        <v>100</v>
      </c>
    </row>
    <row r="483" spans="1:8" s="1" customFormat="1" x14ac:dyDescent="0.2">
      <c r="B483" s="24">
        <v>44286</v>
      </c>
      <c r="C483" s="1">
        <v>1</v>
      </c>
      <c r="D483" s="1">
        <f>8%/4*H482</f>
        <v>2</v>
      </c>
      <c r="E483" s="1">
        <f>100/8</f>
        <v>12.5</v>
      </c>
      <c r="F483" s="1">
        <f>D483+E483</f>
        <v>14.5</v>
      </c>
      <c r="H483" s="1">
        <f>H482-E483</f>
        <v>87.5</v>
      </c>
    </row>
    <row r="484" spans="1:8" s="1" customFormat="1" x14ac:dyDescent="0.2">
      <c r="B484" s="24">
        <v>44377</v>
      </c>
      <c r="C484" s="1">
        <v>2</v>
      </c>
      <c r="D484" s="1">
        <f t="shared" ref="D484:D490" si="14">8%/4*H483</f>
        <v>1.75</v>
      </c>
      <c r="E484" s="1">
        <f t="shared" ref="E484:E490" si="15">100/8</f>
        <v>12.5</v>
      </c>
      <c r="F484" s="1">
        <f t="shared" ref="F484:F490" si="16">D484+E484</f>
        <v>14.25</v>
      </c>
      <c r="H484" s="1">
        <f t="shared" ref="H484:H490" si="17">H483-E484</f>
        <v>75</v>
      </c>
    </row>
    <row r="485" spans="1:8" s="1" customFormat="1" x14ac:dyDescent="0.2">
      <c r="B485" s="24">
        <v>44469</v>
      </c>
      <c r="C485" s="1">
        <v>3</v>
      </c>
      <c r="D485" s="1">
        <f t="shared" si="14"/>
        <v>1.5</v>
      </c>
      <c r="E485" s="1">
        <f t="shared" si="15"/>
        <v>12.5</v>
      </c>
      <c r="F485" s="1">
        <f t="shared" si="16"/>
        <v>14</v>
      </c>
      <c r="H485" s="1">
        <f t="shared" si="17"/>
        <v>62.5</v>
      </c>
    </row>
    <row r="486" spans="1:8" s="1" customFormat="1" x14ac:dyDescent="0.2">
      <c r="A486" s="4"/>
      <c r="B486" s="24">
        <v>44561</v>
      </c>
      <c r="C486" s="1">
        <v>4</v>
      </c>
      <c r="D486" s="1">
        <f t="shared" si="14"/>
        <v>1.25</v>
      </c>
      <c r="E486" s="1">
        <f t="shared" si="15"/>
        <v>12.5</v>
      </c>
      <c r="F486" s="1">
        <f t="shared" si="16"/>
        <v>13.75</v>
      </c>
      <c r="H486" s="1">
        <f t="shared" si="17"/>
        <v>50</v>
      </c>
    </row>
    <row r="487" spans="1:8" s="1" customFormat="1" x14ac:dyDescent="0.2">
      <c r="A487" s="4"/>
      <c r="B487" s="24">
        <v>44651</v>
      </c>
      <c r="C487" s="1">
        <v>5</v>
      </c>
      <c r="D487" s="1">
        <f t="shared" si="14"/>
        <v>1</v>
      </c>
      <c r="E487" s="1">
        <f t="shared" si="15"/>
        <v>12.5</v>
      </c>
      <c r="F487" s="1">
        <f t="shared" si="16"/>
        <v>13.5</v>
      </c>
      <c r="H487" s="1">
        <f t="shared" si="17"/>
        <v>37.5</v>
      </c>
    </row>
    <row r="488" spans="1:8" s="1" customFormat="1" x14ac:dyDescent="0.2">
      <c r="A488" s="4"/>
      <c r="B488" s="24">
        <v>44742</v>
      </c>
      <c r="C488" s="1">
        <v>6</v>
      </c>
      <c r="D488" s="1">
        <f t="shared" si="14"/>
        <v>0.75</v>
      </c>
      <c r="E488" s="1">
        <f t="shared" si="15"/>
        <v>12.5</v>
      </c>
      <c r="F488" s="1">
        <f t="shared" si="16"/>
        <v>13.25</v>
      </c>
      <c r="H488" s="1">
        <f t="shared" si="17"/>
        <v>25</v>
      </c>
    </row>
    <row r="489" spans="1:8" s="1" customFormat="1" x14ac:dyDescent="0.2">
      <c r="A489" s="4"/>
      <c r="B489" s="24">
        <v>44834</v>
      </c>
      <c r="C489" s="1">
        <v>7</v>
      </c>
      <c r="D489" s="1">
        <f t="shared" si="14"/>
        <v>0.5</v>
      </c>
      <c r="E489" s="1">
        <f t="shared" si="15"/>
        <v>12.5</v>
      </c>
      <c r="F489" s="1">
        <f t="shared" si="16"/>
        <v>13</v>
      </c>
      <c r="H489" s="1">
        <f t="shared" si="17"/>
        <v>12.5</v>
      </c>
    </row>
    <row r="490" spans="1:8" x14ac:dyDescent="0.2">
      <c r="A490" s="1"/>
      <c r="B490" s="24">
        <v>44926</v>
      </c>
      <c r="C490" s="1">
        <v>8</v>
      </c>
      <c r="D490" s="1">
        <f t="shared" si="14"/>
        <v>0.25</v>
      </c>
      <c r="E490" s="1">
        <f t="shared" si="15"/>
        <v>12.5</v>
      </c>
      <c r="F490" s="1">
        <f t="shared" si="16"/>
        <v>12.75</v>
      </c>
      <c r="G490" s="1"/>
      <c r="H490" s="1">
        <f t="shared" si="17"/>
        <v>0</v>
      </c>
    </row>
    <row r="491" spans="1:8" x14ac:dyDescent="0.2">
      <c r="A491" s="1"/>
      <c r="B491" s="1"/>
      <c r="C491" s="1"/>
      <c r="D491" s="1"/>
      <c r="E491" s="1"/>
      <c r="F491" s="1"/>
      <c r="G491" s="1"/>
      <c r="H491" s="1"/>
    </row>
    <row r="492" spans="1:8" x14ac:dyDescent="0.2">
      <c r="A492" s="1"/>
      <c r="B492" s="1" t="s">
        <v>2549</v>
      </c>
      <c r="C492" s="1"/>
      <c r="D492" s="1"/>
      <c r="E492" s="1"/>
      <c r="F492" s="43">
        <f>IRR(F482:F490)</f>
        <v>5.4271116140839792E-2</v>
      </c>
      <c r="G492" s="1"/>
      <c r="H492" s="1"/>
    </row>
    <row r="493" spans="1:8" x14ac:dyDescent="0.2">
      <c r="A493" s="1"/>
      <c r="B493" s="1" t="s">
        <v>2550</v>
      </c>
      <c r="C493" s="1"/>
      <c r="D493" s="1"/>
      <c r="E493" s="1"/>
      <c r="F493" s="36">
        <f>(1+F492)^4-1</f>
        <v>0.23540465456313719</v>
      </c>
      <c r="G493" s="1"/>
      <c r="H493" s="1"/>
    </row>
    <row r="495" spans="1:8" s="1" customFormat="1" x14ac:dyDescent="0.2">
      <c r="A495" s="81" t="s">
        <v>2559</v>
      </c>
      <c r="B495" s="38"/>
      <c r="C495" s="38"/>
      <c r="D495" s="38"/>
      <c r="E495" s="38"/>
      <c r="F495" s="38"/>
      <c r="G495" s="45"/>
      <c r="H495" s="38"/>
    </row>
    <row r="496" spans="1:8" s="1" customFormat="1" x14ac:dyDescent="0.2">
      <c r="A496" s="1" t="s">
        <v>2581</v>
      </c>
    </row>
    <row r="497" spans="1:8" s="1" customFormat="1" x14ac:dyDescent="0.2">
      <c r="A497" s="1" t="s">
        <v>2556</v>
      </c>
    </row>
    <row r="498" spans="1:8" s="1" customFormat="1" x14ac:dyDescent="0.2">
      <c r="A498" s="1" t="s">
        <v>2555</v>
      </c>
    </row>
    <row r="500" spans="1:8" x14ac:dyDescent="0.2">
      <c r="B500" s="1" t="s">
        <v>12</v>
      </c>
      <c r="C500" s="1" t="s">
        <v>202</v>
      </c>
      <c r="D500" s="1" t="s">
        <v>203</v>
      </c>
      <c r="E500" s="1" t="s">
        <v>274</v>
      </c>
      <c r="F500" s="1" t="s">
        <v>2245</v>
      </c>
      <c r="G500" s="1"/>
      <c r="H500" s="1" t="s">
        <v>206</v>
      </c>
    </row>
    <row r="501" spans="1:8" x14ac:dyDescent="0.2">
      <c r="B501" s="24">
        <v>43101</v>
      </c>
      <c r="C501" s="1">
        <v>0</v>
      </c>
      <c r="D501" s="1"/>
      <c r="E501" s="1"/>
      <c r="F501" s="1">
        <v>-87</v>
      </c>
      <c r="G501" s="1"/>
      <c r="H501" s="1">
        <v>100</v>
      </c>
    </row>
    <row r="502" spans="1:8" x14ac:dyDescent="0.2">
      <c r="B502" s="24">
        <v>43281</v>
      </c>
      <c r="C502" s="1">
        <v>1</v>
      </c>
      <c r="D502" s="1">
        <f>6%/2*H501</f>
        <v>3</v>
      </c>
      <c r="E502" s="1"/>
      <c r="F502" s="1">
        <f>D502+E502</f>
        <v>3</v>
      </c>
      <c r="G502" s="1"/>
      <c r="H502" s="1">
        <f>H501-E502</f>
        <v>100</v>
      </c>
    </row>
    <row r="503" spans="1:8" x14ac:dyDescent="0.2">
      <c r="B503" s="24">
        <v>43465</v>
      </c>
      <c r="C503" s="1">
        <v>2</v>
      </c>
      <c r="D503" s="1">
        <f t="shared" ref="D503:D521" si="18">6%/2*H502</f>
        <v>3</v>
      </c>
      <c r="E503" s="1"/>
      <c r="F503" s="1">
        <f t="shared" ref="F503:F521" si="19">D503+E503</f>
        <v>3</v>
      </c>
      <c r="G503" s="1"/>
      <c r="H503" s="1">
        <f t="shared" ref="H503:H521" si="20">H502-E503</f>
        <v>100</v>
      </c>
    </row>
    <row r="504" spans="1:8" x14ac:dyDescent="0.2">
      <c r="B504" s="24">
        <v>43646</v>
      </c>
      <c r="C504" s="1">
        <v>3</v>
      </c>
      <c r="D504" s="1">
        <f t="shared" si="18"/>
        <v>3</v>
      </c>
      <c r="E504" s="1"/>
      <c r="F504" s="1">
        <f t="shared" si="19"/>
        <v>3</v>
      </c>
      <c r="G504" s="1"/>
      <c r="H504" s="1">
        <f t="shared" si="20"/>
        <v>100</v>
      </c>
    </row>
    <row r="505" spans="1:8" x14ac:dyDescent="0.2">
      <c r="B505" s="24">
        <v>43830</v>
      </c>
      <c r="C505" s="1">
        <v>4</v>
      </c>
      <c r="D505" s="1">
        <f t="shared" si="18"/>
        <v>3</v>
      </c>
      <c r="E505" s="1"/>
      <c r="F505" s="1">
        <f t="shared" si="19"/>
        <v>3</v>
      </c>
      <c r="G505" s="1"/>
      <c r="H505" s="1">
        <f t="shared" si="20"/>
        <v>100</v>
      </c>
    </row>
    <row r="506" spans="1:8" x14ac:dyDescent="0.2">
      <c r="B506" s="24">
        <v>44012</v>
      </c>
      <c r="C506" s="1">
        <v>5</v>
      </c>
      <c r="D506" s="1">
        <f t="shared" si="18"/>
        <v>3</v>
      </c>
      <c r="E506" s="1"/>
      <c r="F506" s="1">
        <f t="shared" si="19"/>
        <v>3</v>
      </c>
      <c r="G506" s="1"/>
      <c r="H506" s="1">
        <f t="shared" si="20"/>
        <v>100</v>
      </c>
    </row>
    <row r="507" spans="1:8" x14ac:dyDescent="0.2">
      <c r="B507" s="24">
        <v>44196</v>
      </c>
      <c r="C507" s="1">
        <v>6</v>
      </c>
      <c r="D507" s="1">
        <f t="shared" si="18"/>
        <v>3</v>
      </c>
      <c r="E507" s="1"/>
      <c r="F507" s="1">
        <f t="shared" si="19"/>
        <v>3</v>
      </c>
      <c r="G507" s="1"/>
      <c r="H507" s="1">
        <f t="shared" si="20"/>
        <v>100</v>
      </c>
    </row>
    <row r="508" spans="1:8" x14ac:dyDescent="0.2">
      <c r="B508" s="24">
        <v>44377</v>
      </c>
      <c r="C508" s="1">
        <v>7</v>
      </c>
      <c r="D508" s="1">
        <f t="shared" si="18"/>
        <v>3</v>
      </c>
      <c r="E508" s="1"/>
      <c r="F508" s="1">
        <f t="shared" si="19"/>
        <v>3</v>
      </c>
      <c r="G508" s="1"/>
      <c r="H508" s="1">
        <f t="shared" si="20"/>
        <v>100</v>
      </c>
    </row>
    <row r="509" spans="1:8" x14ac:dyDescent="0.2">
      <c r="B509" s="24">
        <v>44561</v>
      </c>
      <c r="C509" s="1">
        <v>8</v>
      </c>
      <c r="D509" s="1">
        <f t="shared" si="18"/>
        <v>3</v>
      </c>
      <c r="E509" s="1"/>
      <c r="F509" s="1">
        <f t="shared" si="19"/>
        <v>3</v>
      </c>
      <c r="G509" s="1"/>
      <c r="H509" s="1">
        <f t="shared" si="20"/>
        <v>100</v>
      </c>
    </row>
    <row r="510" spans="1:8" x14ac:dyDescent="0.2">
      <c r="B510" s="24">
        <v>44742</v>
      </c>
      <c r="C510" s="1">
        <f>C509+1</f>
        <v>9</v>
      </c>
      <c r="D510" s="1">
        <f t="shared" si="18"/>
        <v>3</v>
      </c>
      <c r="E510" s="1"/>
      <c r="F510" s="1">
        <f t="shared" si="19"/>
        <v>3</v>
      </c>
      <c r="G510" s="1"/>
      <c r="H510" s="1">
        <f t="shared" si="20"/>
        <v>100</v>
      </c>
    </row>
    <row r="511" spans="1:8" x14ac:dyDescent="0.2">
      <c r="B511" s="24">
        <v>44926</v>
      </c>
      <c r="C511" s="1">
        <f t="shared" ref="C511:C521" si="21">C510+1</f>
        <v>10</v>
      </c>
      <c r="D511" s="1">
        <f t="shared" si="18"/>
        <v>3</v>
      </c>
      <c r="E511" s="1"/>
      <c r="F511" s="1">
        <f t="shared" si="19"/>
        <v>3</v>
      </c>
      <c r="G511" s="1"/>
      <c r="H511" s="1">
        <f t="shared" si="20"/>
        <v>100</v>
      </c>
    </row>
    <row r="512" spans="1:8" x14ac:dyDescent="0.2">
      <c r="B512" s="24">
        <v>45107</v>
      </c>
      <c r="C512" s="1">
        <f t="shared" si="21"/>
        <v>11</v>
      </c>
      <c r="D512" s="1">
        <f t="shared" si="18"/>
        <v>3</v>
      </c>
      <c r="E512" s="1"/>
      <c r="F512" s="1">
        <f t="shared" si="19"/>
        <v>3</v>
      </c>
      <c r="G512" s="1"/>
      <c r="H512" s="1">
        <f t="shared" si="20"/>
        <v>100</v>
      </c>
    </row>
    <row r="513" spans="1:8" x14ac:dyDescent="0.2">
      <c r="B513" s="24">
        <v>45291</v>
      </c>
      <c r="C513" s="1">
        <f t="shared" si="21"/>
        <v>12</v>
      </c>
      <c r="D513" s="1">
        <f t="shared" si="18"/>
        <v>3</v>
      </c>
      <c r="E513" s="1"/>
      <c r="F513" s="1">
        <f t="shared" si="19"/>
        <v>3</v>
      </c>
      <c r="G513" s="1"/>
      <c r="H513" s="1">
        <f t="shared" si="20"/>
        <v>100</v>
      </c>
    </row>
    <row r="514" spans="1:8" x14ac:dyDescent="0.2">
      <c r="B514" s="24">
        <v>45473</v>
      </c>
      <c r="C514" s="1">
        <f t="shared" si="21"/>
        <v>13</v>
      </c>
      <c r="D514" s="1">
        <f t="shared" si="18"/>
        <v>3</v>
      </c>
      <c r="E514" s="1"/>
      <c r="F514" s="1">
        <f t="shared" si="19"/>
        <v>3</v>
      </c>
      <c r="G514" s="1"/>
      <c r="H514" s="1">
        <f t="shared" si="20"/>
        <v>100</v>
      </c>
    </row>
    <row r="515" spans="1:8" x14ac:dyDescent="0.2">
      <c r="B515" s="24">
        <v>45657</v>
      </c>
      <c r="C515" s="1">
        <f t="shared" si="21"/>
        <v>14</v>
      </c>
      <c r="D515" s="1">
        <f t="shared" si="18"/>
        <v>3</v>
      </c>
      <c r="E515" s="1">
        <f>100/4</f>
        <v>25</v>
      </c>
      <c r="F515" s="1">
        <f t="shared" si="19"/>
        <v>28</v>
      </c>
      <c r="G515" s="1"/>
      <c r="H515" s="1">
        <f t="shared" si="20"/>
        <v>75</v>
      </c>
    </row>
    <row r="516" spans="1:8" x14ac:dyDescent="0.2">
      <c r="B516" s="24">
        <v>45838</v>
      </c>
      <c r="C516" s="1">
        <f t="shared" si="21"/>
        <v>15</v>
      </c>
      <c r="D516" s="1">
        <f t="shared" si="18"/>
        <v>2.25</v>
      </c>
      <c r="E516" s="1"/>
      <c r="F516" s="1">
        <f t="shared" si="19"/>
        <v>2.25</v>
      </c>
      <c r="G516" s="1"/>
      <c r="H516" s="1">
        <f t="shared" si="20"/>
        <v>75</v>
      </c>
    </row>
    <row r="517" spans="1:8" x14ac:dyDescent="0.2">
      <c r="B517" s="24">
        <v>46022</v>
      </c>
      <c r="C517" s="1">
        <f t="shared" si="21"/>
        <v>16</v>
      </c>
      <c r="D517" s="1">
        <f t="shared" si="18"/>
        <v>2.25</v>
      </c>
      <c r="E517" s="1">
        <f>100/4</f>
        <v>25</v>
      </c>
      <c r="F517" s="1">
        <f t="shared" si="19"/>
        <v>27.25</v>
      </c>
      <c r="G517" s="1"/>
      <c r="H517" s="1">
        <f t="shared" si="20"/>
        <v>50</v>
      </c>
    </row>
    <row r="518" spans="1:8" x14ac:dyDescent="0.2">
      <c r="B518" s="24">
        <v>46203</v>
      </c>
      <c r="C518" s="1">
        <f t="shared" si="21"/>
        <v>17</v>
      </c>
      <c r="D518" s="1">
        <f t="shared" si="18"/>
        <v>1.5</v>
      </c>
      <c r="E518" s="1"/>
      <c r="F518" s="1">
        <f t="shared" si="19"/>
        <v>1.5</v>
      </c>
      <c r="G518" s="1"/>
      <c r="H518" s="1">
        <f t="shared" si="20"/>
        <v>50</v>
      </c>
    </row>
    <row r="519" spans="1:8" x14ac:dyDescent="0.2">
      <c r="B519" s="24">
        <v>46387</v>
      </c>
      <c r="C519" s="1">
        <f t="shared" si="21"/>
        <v>18</v>
      </c>
      <c r="D519" s="1">
        <f t="shared" si="18"/>
        <v>1.5</v>
      </c>
      <c r="E519" s="1">
        <f>100/4</f>
        <v>25</v>
      </c>
      <c r="F519" s="1">
        <f t="shared" si="19"/>
        <v>26.5</v>
      </c>
      <c r="G519" s="1"/>
      <c r="H519" s="1">
        <f t="shared" si="20"/>
        <v>25</v>
      </c>
    </row>
    <row r="520" spans="1:8" x14ac:dyDescent="0.2">
      <c r="B520" s="24">
        <v>46568</v>
      </c>
      <c r="C520" s="1">
        <f t="shared" si="21"/>
        <v>19</v>
      </c>
      <c r="D520" s="1">
        <f t="shared" si="18"/>
        <v>0.75</v>
      </c>
      <c r="E520" s="1"/>
      <c r="F520" s="1">
        <f t="shared" si="19"/>
        <v>0.75</v>
      </c>
      <c r="G520" s="1"/>
      <c r="H520" s="1">
        <f t="shared" si="20"/>
        <v>25</v>
      </c>
    </row>
    <row r="521" spans="1:8" x14ac:dyDescent="0.2">
      <c r="B521" s="24">
        <v>46752</v>
      </c>
      <c r="C521" s="1">
        <f t="shared" si="21"/>
        <v>20</v>
      </c>
      <c r="D521" s="1">
        <f t="shared" si="18"/>
        <v>0.75</v>
      </c>
      <c r="E521" s="1">
        <f>100/4</f>
        <v>25</v>
      </c>
      <c r="F521" s="1">
        <f t="shared" si="19"/>
        <v>25.75</v>
      </c>
      <c r="G521" s="1"/>
      <c r="H521" s="1">
        <f t="shared" si="20"/>
        <v>0</v>
      </c>
    </row>
    <row r="522" spans="1:8" x14ac:dyDescent="0.2">
      <c r="B522" s="24"/>
      <c r="C522" s="1"/>
      <c r="D522" s="1"/>
      <c r="E522" s="1"/>
      <c r="F522" s="1"/>
      <c r="G522" s="1"/>
      <c r="H522" s="1"/>
    </row>
    <row r="523" spans="1:8" x14ac:dyDescent="0.2">
      <c r="B523" s="1" t="s">
        <v>2558</v>
      </c>
      <c r="C523" s="1"/>
      <c r="D523" s="1"/>
      <c r="E523" s="1"/>
      <c r="F523" s="11">
        <f>IRR(F501:F521)</f>
        <v>4.0796285548337474E-2</v>
      </c>
      <c r="G523" s="1"/>
      <c r="H523" s="1"/>
    </row>
    <row r="524" spans="1:8" x14ac:dyDescent="0.2">
      <c r="B524" s="1" t="s">
        <v>387</v>
      </c>
      <c r="C524" s="1"/>
      <c r="D524" s="1"/>
      <c r="E524" s="1"/>
      <c r="F524" s="261">
        <f>(1+F523)^2-1</f>
        <v>8.3256908011216435E-2</v>
      </c>
      <c r="G524" s="1"/>
      <c r="H524" s="1"/>
    </row>
    <row r="526" spans="1:8" s="1" customFormat="1" x14ac:dyDescent="0.2">
      <c r="A526" s="81" t="s">
        <v>2563</v>
      </c>
      <c r="B526" s="38"/>
      <c r="C526" s="38"/>
      <c r="D526" s="38"/>
      <c r="E526" s="38"/>
      <c r="F526" s="38"/>
      <c r="G526" s="45"/>
      <c r="H526" s="38"/>
    </row>
    <row r="527" spans="1:8" s="1" customFormat="1" x14ac:dyDescent="0.2">
      <c r="A527" s="1" t="s">
        <v>2561</v>
      </c>
    </row>
    <row r="528" spans="1:8" s="1" customFormat="1" x14ac:dyDescent="0.2">
      <c r="A528" s="1" t="s">
        <v>2562</v>
      </c>
    </row>
    <row r="529" spans="1:9" s="1" customFormat="1" x14ac:dyDescent="0.2">
      <c r="A529" s="1" t="s">
        <v>2565</v>
      </c>
    </row>
    <row r="531" spans="1:9" x14ac:dyDescent="0.2">
      <c r="A531" s="1" t="s">
        <v>198</v>
      </c>
    </row>
    <row r="533" spans="1:9" x14ac:dyDescent="0.2">
      <c r="B533" s="1" t="s">
        <v>12</v>
      </c>
      <c r="C533" s="1" t="s">
        <v>202</v>
      </c>
      <c r="D533" s="1" t="s">
        <v>203</v>
      </c>
      <c r="E533" s="1" t="s">
        <v>274</v>
      </c>
      <c r="F533" s="1" t="s">
        <v>2245</v>
      </c>
      <c r="G533" s="1"/>
      <c r="H533" s="1" t="s">
        <v>206</v>
      </c>
    </row>
    <row r="534" spans="1:9" x14ac:dyDescent="0.2">
      <c r="B534" s="24">
        <v>43466</v>
      </c>
      <c r="C534" s="1">
        <v>0</v>
      </c>
      <c r="D534" s="27"/>
      <c r="E534" s="27"/>
      <c r="F534" s="27">
        <v>-107</v>
      </c>
      <c r="G534" s="27"/>
      <c r="H534" s="27">
        <v>100</v>
      </c>
    </row>
    <row r="535" spans="1:9" x14ac:dyDescent="0.2">
      <c r="B535" s="24">
        <v>43555</v>
      </c>
      <c r="C535" s="1">
        <v>1</v>
      </c>
      <c r="D535" s="27">
        <f>5%/4*H534</f>
        <v>1.25</v>
      </c>
      <c r="E535" s="27"/>
      <c r="F535" s="27">
        <f>D535+E535</f>
        <v>1.25</v>
      </c>
      <c r="G535" s="27"/>
      <c r="H535" s="27">
        <f>H534-E535</f>
        <v>100</v>
      </c>
    </row>
    <row r="536" spans="1:9" x14ac:dyDescent="0.2">
      <c r="B536" s="24">
        <v>43646</v>
      </c>
      <c r="C536" s="1">
        <v>2</v>
      </c>
      <c r="D536" s="27">
        <f t="shared" ref="D536:D566" si="22">5%/4*H535</f>
        <v>1.25</v>
      </c>
      <c r="E536" s="27"/>
      <c r="F536" s="27">
        <f t="shared" ref="F536:F566" si="23">D536+E536</f>
        <v>1.25</v>
      </c>
      <c r="G536" s="27"/>
      <c r="H536" s="27">
        <f t="shared" ref="H536:H566" si="24">H535-E536</f>
        <v>100</v>
      </c>
    </row>
    <row r="537" spans="1:9" x14ac:dyDescent="0.2">
      <c r="B537" s="24">
        <v>43738</v>
      </c>
      <c r="C537" s="1">
        <v>3</v>
      </c>
      <c r="D537" s="27">
        <f t="shared" si="22"/>
        <v>1.25</v>
      </c>
      <c r="E537" s="27"/>
      <c r="F537" s="27">
        <f t="shared" si="23"/>
        <v>1.25</v>
      </c>
      <c r="G537" s="27"/>
      <c r="H537" s="27">
        <f t="shared" si="24"/>
        <v>100</v>
      </c>
    </row>
    <row r="538" spans="1:9" x14ac:dyDescent="0.2">
      <c r="B538" s="24">
        <v>43830</v>
      </c>
      <c r="C538" s="1">
        <v>4</v>
      </c>
      <c r="D538" s="27">
        <f t="shared" si="22"/>
        <v>1.25</v>
      </c>
      <c r="E538" s="27"/>
      <c r="F538" s="27">
        <f t="shared" si="23"/>
        <v>1.25</v>
      </c>
      <c r="G538" s="27"/>
      <c r="H538" s="27">
        <f t="shared" si="24"/>
        <v>100</v>
      </c>
    </row>
    <row r="539" spans="1:9" x14ac:dyDescent="0.2">
      <c r="B539" s="24">
        <v>43921</v>
      </c>
      <c r="C539" s="1">
        <v>5</v>
      </c>
      <c r="D539" s="27">
        <f t="shared" si="22"/>
        <v>1.25</v>
      </c>
      <c r="E539" s="27"/>
      <c r="F539" s="27">
        <f t="shared" si="23"/>
        <v>1.25</v>
      </c>
      <c r="G539" s="27"/>
      <c r="H539" s="27">
        <f t="shared" si="24"/>
        <v>100</v>
      </c>
    </row>
    <row r="540" spans="1:9" x14ac:dyDescent="0.2">
      <c r="B540" s="24">
        <v>44012</v>
      </c>
      <c r="C540" s="1">
        <v>6</v>
      </c>
      <c r="D540" s="27">
        <f t="shared" si="22"/>
        <v>1.25</v>
      </c>
      <c r="E540" s="27"/>
      <c r="F540" s="60">
        <v>-104</v>
      </c>
      <c r="G540" s="27"/>
      <c r="H540" s="27">
        <f t="shared" si="24"/>
        <v>100</v>
      </c>
      <c r="I540" s="1" t="s">
        <v>2564</v>
      </c>
    </row>
    <row r="541" spans="1:9" x14ac:dyDescent="0.2">
      <c r="B541" s="24">
        <v>44104</v>
      </c>
      <c r="C541" s="1">
        <v>7</v>
      </c>
      <c r="D541" s="1">
        <f t="shared" si="22"/>
        <v>1.25</v>
      </c>
      <c r="E541" s="1"/>
      <c r="F541" s="1">
        <f t="shared" si="23"/>
        <v>1.25</v>
      </c>
      <c r="G541" s="1"/>
      <c r="H541" s="1">
        <f t="shared" si="24"/>
        <v>100</v>
      </c>
    </row>
    <row r="542" spans="1:9" x14ac:dyDescent="0.2">
      <c r="B542" s="24">
        <v>44196</v>
      </c>
      <c r="C542" s="1">
        <v>8</v>
      </c>
      <c r="D542" s="1">
        <f t="shared" si="22"/>
        <v>1.25</v>
      </c>
      <c r="E542" s="1"/>
      <c r="F542" s="1">
        <f t="shared" si="23"/>
        <v>1.25</v>
      </c>
      <c r="G542" s="1"/>
      <c r="H542" s="1">
        <f t="shared" si="24"/>
        <v>100</v>
      </c>
    </row>
    <row r="543" spans="1:9" x14ac:dyDescent="0.2">
      <c r="B543" s="24">
        <v>44286</v>
      </c>
      <c r="C543" s="1">
        <f>C542+1</f>
        <v>9</v>
      </c>
      <c r="D543" s="1">
        <f t="shared" si="22"/>
        <v>1.25</v>
      </c>
      <c r="E543" s="1"/>
      <c r="F543" s="1">
        <f t="shared" si="23"/>
        <v>1.25</v>
      </c>
      <c r="G543" s="1"/>
      <c r="H543" s="1">
        <f t="shared" si="24"/>
        <v>100</v>
      </c>
    </row>
    <row r="544" spans="1:9" x14ac:dyDescent="0.2">
      <c r="B544" s="24">
        <v>44377</v>
      </c>
      <c r="C544" s="1">
        <f t="shared" ref="C544:C566" si="25">C543+1</f>
        <v>10</v>
      </c>
      <c r="D544" s="1">
        <f t="shared" si="22"/>
        <v>1.25</v>
      </c>
      <c r="E544" s="1"/>
      <c r="F544" s="1">
        <f t="shared" si="23"/>
        <v>1.25</v>
      </c>
      <c r="G544" s="1"/>
      <c r="H544" s="1">
        <f t="shared" si="24"/>
        <v>100</v>
      </c>
    </row>
    <row r="545" spans="2:8" x14ac:dyDescent="0.2">
      <c r="B545" s="24">
        <v>44469</v>
      </c>
      <c r="C545" s="1">
        <f t="shared" si="25"/>
        <v>11</v>
      </c>
      <c r="D545" s="1">
        <f t="shared" si="22"/>
        <v>1.25</v>
      </c>
      <c r="E545" s="1"/>
      <c r="F545" s="1">
        <f t="shared" si="23"/>
        <v>1.25</v>
      </c>
      <c r="G545" s="1"/>
      <c r="H545" s="1">
        <f t="shared" si="24"/>
        <v>100</v>
      </c>
    </row>
    <row r="546" spans="2:8" x14ac:dyDescent="0.2">
      <c r="B546" s="24">
        <v>44561</v>
      </c>
      <c r="C546" s="1">
        <f t="shared" si="25"/>
        <v>12</v>
      </c>
      <c r="D546" s="1">
        <f t="shared" si="22"/>
        <v>1.25</v>
      </c>
      <c r="E546" s="1"/>
      <c r="F546" s="1">
        <f t="shared" si="23"/>
        <v>1.25</v>
      </c>
      <c r="G546" s="1"/>
      <c r="H546" s="1">
        <f t="shared" si="24"/>
        <v>100</v>
      </c>
    </row>
    <row r="547" spans="2:8" x14ac:dyDescent="0.2">
      <c r="B547" s="24">
        <v>44651</v>
      </c>
      <c r="C547" s="1">
        <f t="shared" si="25"/>
        <v>13</v>
      </c>
      <c r="D547" s="1">
        <f t="shared" si="22"/>
        <v>1.25</v>
      </c>
      <c r="E547" s="1"/>
      <c r="F547" s="1">
        <f t="shared" si="23"/>
        <v>1.25</v>
      </c>
      <c r="G547" s="1"/>
      <c r="H547" s="1">
        <f t="shared" si="24"/>
        <v>100</v>
      </c>
    </row>
    <row r="548" spans="2:8" x14ac:dyDescent="0.2">
      <c r="B548" s="24">
        <v>44742</v>
      </c>
      <c r="C548" s="1">
        <f t="shared" si="25"/>
        <v>14</v>
      </c>
      <c r="D548" s="1">
        <f t="shared" si="22"/>
        <v>1.25</v>
      </c>
      <c r="E548" s="1"/>
      <c r="F548" s="1">
        <f t="shared" si="23"/>
        <v>1.25</v>
      </c>
      <c r="G548" s="1"/>
      <c r="H548" s="1">
        <f t="shared" si="24"/>
        <v>100</v>
      </c>
    </row>
    <row r="549" spans="2:8" x14ac:dyDescent="0.2">
      <c r="B549" s="24">
        <v>44834</v>
      </c>
      <c r="C549" s="1">
        <f t="shared" si="25"/>
        <v>15</v>
      </c>
      <c r="D549" s="1">
        <f t="shared" si="22"/>
        <v>1.25</v>
      </c>
      <c r="E549" s="1"/>
      <c r="F549" s="1">
        <f t="shared" si="23"/>
        <v>1.25</v>
      </c>
      <c r="G549" s="1"/>
      <c r="H549" s="1">
        <f t="shared" si="24"/>
        <v>100</v>
      </c>
    </row>
    <row r="550" spans="2:8" x14ac:dyDescent="0.2">
      <c r="B550" s="24">
        <v>44926</v>
      </c>
      <c r="C550" s="1">
        <f t="shared" si="25"/>
        <v>16</v>
      </c>
      <c r="D550" s="1">
        <f t="shared" si="22"/>
        <v>1.25</v>
      </c>
      <c r="E550">
        <f>100/5</f>
        <v>20</v>
      </c>
      <c r="F550" s="1">
        <f t="shared" si="23"/>
        <v>21.25</v>
      </c>
      <c r="G550" s="1"/>
      <c r="H550" s="1">
        <f t="shared" si="24"/>
        <v>80</v>
      </c>
    </row>
    <row r="551" spans="2:8" x14ac:dyDescent="0.2">
      <c r="B551" s="24">
        <v>45016</v>
      </c>
      <c r="C551" s="1">
        <f t="shared" si="25"/>
        <v>17</v>
      </c>
      <c r="D551" s="1">
        <f t="shared" si="22"/>
        <v>1</v>
      </c>
      <c r="E551" s="1"/>
      <c r="F551" s="1">
        <f t="shared" si="23"/>
        <v>1</v>
      </c>
      <c r="G551" s="1"/>
      <c r="H551" s="1">
        <f t="shared" si="24"/>
        <v>80</v>
      </c>
    </row>
    <row r="552" spans="2:8" x14ac:dyDescent="0.2">
      <c r="B552" s="24">
        <v>45107</v>
      </c>
      <c r="C552" s="1">
        <f t="shared" si="25"/>
        <v>18</v>
      </c>
      <c r="D552" s="1">
        <f t="shared" si="22"/>
        <v>1</v>
      </c>
      <c r="E552" s="1"/>
      <c r="F552" s="1">
        <f t="shared" si="23"/>
        <v>1</v>
      </c>
      <c r="G552" s="1"/>
      <c r="H552" s="1">
        <f t="shared" si="24"/>
        <v>80</v>
      </c>
    </row>
    <row r="553" spans="2:8" x14ac:dyDescent="0.2">
      <c r="B553" s="24">
        <v>45199</v>
      </c>
      <c r="C553" s="1">
        <f t="shared" si="25"/>
        <v>19</v>
      </c>
      <c r="D553" s="1">
        <f t="shared" si="22"/>
        <v>1</v>
      </c>
      <c r="E553" s="1"/>
      <c r="F553" s="1">
        <f t="shared" si="23"/>
        <v>1</v>
      </c>
      <c r="G553" s="1"/>
      <c r="H553" s="1">
        <f t="shared" si="24"/>
        <v>80</v>
      </c>
    </row>
    <row r="554" spans="2:8" x14ac:dyDescent="0.2">
      <c r="B554" s="24">
        <v>45291</v>
      </c>
      <c r="C554" s="1">
        <f t="shared" si="25"/>
        <v>20</v>
      </c>
      <c r="D554" s="1">
        <f t="shared" si="22"/>
        <v>1</v>
      </c>
      <c r="E554">
        <f>100/5</f>
        <v>20</v>
      </c>
      <c r="F554" s="1">
        <f t="shared" si="23"/>
        <v>21</v>
      </c>
      <c r="G554" s="1"/>
      <c r="H554" s="1">
        <f t="shared" si="24"/>
        <v>60</v>
      </c>
    </row>
    <row r="555" spans="2:8" x14ac:dyDescent="0.2">
      <c r="B555" s="24">
        <v>45382</v>
      </c>
      <c r="C555" s="1">
        <f t="shared" si="25"/>
        <v>21</v>
      </c>
      <c r="D555" s="1">
        <f t="shared" si="22"/>
        <v>0.75</v>
      </c>
      <c r="E555" s="1"/>
      <c r="F555" s="1">
        <f t="shared" si="23"/>
        <v>0.75</v>
      </c>
      <c r="G555" s="1"/>
      <c r="H555" s="1">
        <f t="shared" si="24"/>
        <v>60</v>
      </c>
    </row>
    <row r="556" spans="2:8" x14ac:dyDescent="0.2">
      <c r="B556" s="24">
        <v>45473</v>
      </c>
      <c r="C556" s="1">
        <f t="shared" si="25"/>
        <v>22</v>
      </c>
      <c r="D556" s="1">
        <f t="shared" si="22"/>
        <v>0.75</v>
      </c>
      <c r="E556" s="1"/>
      <c r="F556" s="1">
        <f t="shared" si="23"/>
        <v>0.75</v>
      </c>
      <c r="G556" s="1"/>
      <c r="H556" s="1">
        <f t="shared" si="24"/>
        <v>60</v>
      </c>
    </row>
    <row r="557" spans="2:8" x14ac:dyDescent="0.2">
      <c r="B557" s="24">
        <v>45565</v>
      </c>
      <c r="C557" s="1">
        <f t="shared" si="25"/>
        <v>23</v>
      </c>
      <c r="D557" s="1">
        <f t="shared" si="22"/>
        <v>0.75</v>
      </c>
      <c r="E557" s="1"/>
      <c r="F557" s="1">
        <f t="shared" si="23"/>
        <v>0.75</v>
      </c>
      <c r="G557" s="1"/>
      <c r="H557" s="1">
        <f t="shared" si="24"/>
        <v>60</v>
      </c>
    </row>
    <row r="558" spans="2:8" x14ac:dyDescent="0.2">
      <c r="B558" s="24">
        <v>45657</v>
      </c>
      <c r="C558" s="1">
        <f t="shared" si="25"/>
        <v>24</v>
      </c>
      <c r="D558" s="1">
        <f t="shared" si="22"/>
        <v>0.75</v>
      </c>
      <c r="E558">
        <f>100/5</f>
        <v>20</v>
      </c>
      <c r="F558" s="1">
        <f t="shared" si="23"/>
        <v>20.75</v>
      </c>
      <c r="H558" s="1">
        <f t="shared" si="24"/>
        <v>40</v>
      </c>
    </row>
    <row r="559" spans="2:8" x14ac:dyDescent="0.2">
      <c r="B559" s="24">
        <v>45747</v>
      </c>
      <c r="C559" s="1">
        <f t="shared" si="25"/>
        <v>25</v>
      </c>
      <c r="D559" s="1">
        <f t="shared" si="22"/>
        <v>0.5</v>
      </c>
      <c r="F559" s="1">
        <f t="shared" si="23"/>
        <v>0.5</v>
      </c>
      <c r="H559" s="1">
        <f t="shared" si="24"/>
        <v>40</v>
      </c>
    </row>
    <row r="560" spans="2:8" x14ac:dyDescent="0.2">
      <c r="B560" s="24">
        <v>45838</v>
      </c>
      <c r="C560" s="1">
        <f t="shared" si="25"/>
        <v>26</v>
      </c>
      <c r="D560" s="1">
        <f t="shared" si="22"/>
        <v>0.5</v>
      </c>
      <c r="F560" s="1">
        <f t="shared" si="23"/>
        <v>0.5</v>
      </c>
      <c r="H560" s="1">
        <f t="shared" si="24"/>
        <v>40</v>
      </c>
    </row>
    <row r="561" spans="2:8" x14ac:dyDescent="0.2">
      <c r="B561" s="24">
        <v>45930</v>
      </c>
      <c r="C561" s="1">
        <f t="shared" si="25"/>
        <v>27</v>
      </c>
      <c r="D561" s="1">
        <f t="shared" si="22"/>
        <v>0.5</v>
      </c>
      <c r="F561" s="1">
        <f t="shared" si="23"/>
        <v>0.5</v>
      </c>
      <c r="H561" s="1">
        <f t="shared" si="24"/>
        <v>40</v>
      </c>
    </row>
    <row r="562" spans="2:8" x14ac:dyDescent="0.2">
      <c r="B562" s="24">
        <v>46022</v>
      </c>
      <c r="C562" s="1">
        <f t="shared" si="25"/>
        <v>28</v>
      </c>
      <c r="D562" s="1">
        <f t="shared" si="22"/>
        <v>0.5</v>
      </c>
      <c r="E562">
        <f>100/5</f>
        <v>20</v>
      </c>
      <c r="F562" s="1">
        <f t="shared" si="23"/>
        <v>20.5</v>
      </c>
      <c r="H562" s="1">
        <f t="shared" si="24"/>
        <v>20</v>
      </c>
    </row>
    <row r="563" spans="2:8" x14ac:dyDescent="0.2">
      <c r="B563" s="24">
        <v>46112</v>
      </c>
      <c r="C563" s="1">
        <f t="shared" si="25"/>
        <v>29</v>
      </c>
      <c r="D563" s="1">
        <f t="shared" si="22"/>
        <v>0.25</v>
      </c>
      <c r="F563" s="1">
        <f t="shared" si="23"/>
        <v>0.25</v>
      </c>
      <c r="H563" s="1">
        <f t="shared" si="24"/>
        <v>20</v>
      </c>
    </row>
    <row r="564" spans="2:8" x14ac:dyDescent="0.2">
      <c r="B564" s="24">
        <v>46203</v>
      </c>
      <c r="C564" s="1">
        <f t="shared" si="25"/>
        <v>30</v>
      </c>
      <c r="D564" s="1">
        <f t="shared" si="22"/>
        <v>0.25</v>
      </c>
      <c r="F564" s="1">
        <f t="shared" si="23"/>
        <v>0.25</v>
      </c>
      <c r="H564" s="1">
        <f t="shared" si="24"/>
        <v>20</v>
      </c>
    </row>
    <row r="565" spans="2:8" x14ac:dyDescent="0.2">
      <c r="B565" s="24">
        <v>46295</v>
      </c>
      <c r="C565" s="1">
        <f t="shared" si="25"/>
        <v>31</v>
      </c>
      <c r="D565" s="1">
        <f t="shared" si="22"/>
        <v>0.25</v>
      </c>
      <c r="F565" s="1">
        <f t="shared" si="23"/>
        <v>0.25</v>
      </c>
      <c r="H565" s="1">
        <f t="shared" si="24"/>
        <v>20</v>
      </c>
    </row>
    <row r="566" spans="2:8" x14ac:dyDescent="0.2">
      <c r="B566" s="24">
        <v>46387</v>
      </c>
      <c r="C566" s="1">
        <f t="shared" si="25"/>
        <v>32</v>
      </c>
      <c r="D566" s="1">
        <f t="shared" si="22"/>
        <v>0.25</v>
      </c>
      <c r="E566">
        <f>100/5</f>
        <v>20</v>
      </c>
      <c r="F566" s="1">
        <f t="shared" si="23"/>
        <v>20.25</v>
      </c>
      <c r="H566" s="1">
        <f t="shared" si="24"/>
        <v>0</v>
      </c>
    </row>
    <row r="568" spans="2:8" x14ac:dyDescent="0.2">
      <c r="C568" s="1" t="s">
        <v>2566</v>
      </c>
      <c r="D568" s="1"/>
      <c r="E568" s="1"/>
      <c r="F568" s="11">
        <f>IRR(F540:F566)</f>
        <v>1.0039879557326215E-2</v>
      </c>
    </row>
    <row r="569" spans="2:8" x14ac:dyDescent="0.2">
      <c r="C569" s="1" t="s">
        <v>2567</v>
      </c>
      <c r="D569" s="1"/>
      <c r="E569" s="1"/>
      <c r="F569" s="261">
        <f>(1+F568)^4-1</f>
        <v>4.0768371525501612E-2</v>
      </c>
    </row>
  </sheetData>
  <mergeCells count="3">
    <mergeCell ref="A331:H331"/>
    <mergeCell ref="A369:H369"/>
    <mergeCell ref="G309:G310"/>
  </mergeCells>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2D84CD-C573-FE43-8233-0920E1208A3F}">
  <dimension ref="A1:I592"/>
  <sheetViews>
    <sheetView rightToLeft="1" topLeftCell="A597" zoomScale="235" zoomScaleNormal="380" workbookViewId="0">
      <selection activeCell="A577" sqref="A577"/>
    </sheetView>
  </sheetViews>
  <sheetFormatPr baseColWidth="10" defaultColWidth="10.83203125" defaultRowHeight="16" x14ac:dyDescent="0.2"/>
  <cols>
    <col min="1" max="7" width="10.83203125" style="1"/>
    <col min="8" max="8" width="13.6640625" style="1" customWidth="1"/>
    <col min="9" max="16384" width="10.83203125" style="1"/>
  </cols>
  <sheetData>
    <row r="1" spans="1:8" x14ac:dyDescent="0.2">
      <c r="A1" s="3" t="s">
        <v>359</v>
      </c>
      <c r="B1" s="2"/>
      <c r="C1" s="2"/>
      <c r="D1" s="2"/>
      <c r="E1" s="2"/>
      <c r="F1" s="2"/>
      <c r="G1" s="2"/>
      <c r="H1" s="46">
        <v>45621</v>
      </c>
    </row>
    <row r="3" spans="1:8" x14ac:dyDescent="0.2">
      <c r="A3" s="1" t="s">
        <v>2586</v>
      </c>
      <c r="H3" s="13"/>
    </row>
    <row r="4" spans="1:8" x14ac:dyDescent="0.2">
      <c r="A4" s="1" t="s">
        <v>3351</v>
      </c>
      <c r="F4" s="13"/>
    </row>
    <row r="5" spans="1:8" x14ac:dyDescent="0.2">
      <c r="A5" s="1" t="s">
        <v>3352</v>
      </c>
      <c r="F5" s="13"/>
    </row>
    <row r="6" spans="1:8" x14ac:dyDescent="0.2">
      <c r="A6" s="1" t="s">
        <v>3353</v>
      </c>
      <c r="F6" s="13"/>
    </row>
    <row r="7" spans="1:8" x14ac:dyDescent="0.2">
      <c r="A7" s="1" t="s">
        <v>360</v>
      </c>
      <c r="F7" s="13"/>
    </row>
    <row r="8" spans="1:8" x14ac:dyDescent="0.2">
      <c r="F8" s="13"/>
    </row>
    <row r="10" spans="1:8" x14ac:dyDescent="0.2">
      <c r="A10" s="5" t="s">
        <v>2595</v>
      </c>
      <c r="B10" s="5"/>
      <c r="C10" s="5"/>
      <c r="D10" s="5"/>
      <c r="E10" s="5"/>
      <c r="F10" s="401" t="s">
        <v>3350</v>
      </c>
      <c r="G10" s="5"/>
      <c r="H10" s="5"/>
    </row>
    <row r="12" spans="1:8" x14ac:dyDescent="0.2">
      <c r="A12" s="1" t="s">
        <v>2598</v>
      </c>
    </row>
    <row r="13" spans="1:8" x14ac:dyDescent="0.2">
      <c r="A13" s="1" t="s">
        <v>2599</v>
      </c>
    </row>
    <row r="14" spans="1:8" x14ac:dyDescent="0.2">
      <c r="A14" s="1" t="s">
        <v>2630</v>
      </c>
    </row>
    <row r="15" spans="1:8" x14ac:dyDescent="0.2">
      <c r="A15" s="1" t="s">
        <v>2600</v>
      </c>
    </row>
    <row r="17" spans="1:9" x14ac:dyDescent="0.2">
      <c r="A17" s="1" t="s">
        <v>2603</v>
      </c>
    </row>
    <row r="18" spans="1:9" x14ac:dyDescent="0.2">
      <c r="A18" s="1" t="s">
        <v>2601</v>
      </c>
    </row>
    <row r="19" spans="1:9" x14ac:dyDescent="0.2">
      <c r="A19" s="1" t="s">
        <v>2602</v>
      </c>
      <c r="I19" s="1" t="s">
        <v>2631</v>
      </c>
    </row>
    <row r="21" spans="1:9" x14ac:dyDescent="0.2">
      <c r="B21" s="25" t="s">
        <v>12</v>
      </c>
      <c r="C21" s="25" t="s">
        <v>202</v>
      </c>
      <c r="D21" s="25" t="s">
        <v>203</v>
      </c>
      <c r="E21" s="25" t="s">
        <v>274</v>
      </c>
      <c r="F21" s="25" t="s">
        <v>2245</v>
      </c>
      <c r="G21" s="25"/>
      <c r="H21" s="25" t="s">
        <v>2241</v>
      </c>
    </row>
    <row r="22" spans="1:9" x14ac:dyDescent="0.2">
      <c r="B22" s="24">
        <v>43101</v>
      </c>
      <c r="C22" s="1">
        <v>0</v>
      </c>
      <c r="F22" s="1">
        <v>-105</v>
      </c>
      <c r="H22" s="1">
        <v>100</v>
      </c>
    </row>
    <row r="23" spans="1:9" x14ac:dyDescent="0.2">
      <c r="B23" s="24">
        <v>43190</v>
      </c>
      <c r="C23" s="1">
        <v>1</v>
      </c>
      <c r="D23" s="1">
        <f>8%/2*H22</f>
        <v>4</v>
      </c>
      <c r="F23" s="1">
        <f>D23+E23</f>
        <v>4</v>
      </c>
      <c r="H23" s="1">
        <f>H22-E23</f>
        <v>100</v>
      </c>
    </row>
    <row r="24" spans="1:9" x14ac:dyDescent="0.2">
      <c r="B24" s="402">
        <v>43281</v>
      </c>
      <c r="C24" s="403"/>
      <c r="D24" s="403"/>
      <c r="E24" s="403"/>
      <c r="F24" s="403">
        <v>0</v>
      </c>
      <c r="G24" s="403"/>
      <c r="H24" s="403"/>
    </row>
    <row r="25" spans="1:9" x14ac:dyDescent="0.2">
      <c r="B25" s="24">
        <v>43373</v>
      </c>
      <c r="C25" s="1">
        <f>C23+1</f>
        <v>2</v>
      </c>
      <c r="D25" s="1">
        <f>D23</f>
        <v>4</v>
      </c>
      <c r="F25" s="1">
        <f t="shared" ref="F25:F37" si="0">D25+E25</f>
        <v>4</v>
      </c>
      <c r="H25" s="1">
        <f>H23-E25</f>
        <v>100</v>
      </c>
    </row>
    <row r="26" spans="1:9" x14ac:dyDescent="0.2">
      <c r="B26" s="402">
        <v>43465</v>
      </c>
      <c r="C26" s="403"/>
      <c r="D26" s="403"/>
      <c r="E26" s="403"/>
      <c r="F26" s="403">
        <v>0</v>
      </c>
      <c r="G26" s="403"/>
      <c r="H26" s="403"/>
    </row>
    <row r="27" spans="1:9" x14ac:dyDescent="0.2">
      <c r="B27" s="24">
        <v>43555</v>
      </c>
      <c r="C27" s="1">
        <f>C25+1</f>
        <v>3</v>
      </c>
      <c r="D27" s="1">
        <f>D25</f>
        <v>4</v>
      </c>
      <c r="F27" s="1">
        <f t="shared" si="0"/>
        <v>4</v>
      </c>
      <c r="H27" s="1">
        <f>H25-E27</f>
        <v>100</v>
      </c>
    </row>
    <row r="28" spans="1:9" x14ac:dyDescent="0.2">
      <c r="B28" s="402">
        <v>43646</v>
      </c>
      <c r="C28" s="403"/>
      <c r="D28" s="403"/>
      <c r="E28" s="403"/>
      <c r="F28" s="403">
        <v>0</v>
      </c>
      <c r="G28" s="403"/>
      <c r="H28" s="403"/>
    </row>
    <row r="29" spans="1:9" x14ac:dyDescent="0.2">
      <c r="B29" s="24">
        <v>43738</v>
      </c>
      <c r="C29" s="1">
        <f>C27+1</f>
        <v>4</v>
      </c>
      <c r="D29" s="1">
        <f>D27</f>
        <v>4</v>
      </c>
      <c r="F29" s="1">
        <f t="shared" si="0"/>
        <v>4</v>
      </c>
      <c r="H29" s="1">
        <f>H27-E29</f>
        <v>100</v>
      </c>
    </row>
    <row r="30" spans="1:9" x14ac:dyDescent="0.2">
      <c r="B30" s="402">
        <v>43830</v>
      </c>
      <c r="C30" s="403"/>
      <c r="D30" s="403"/>
      <c r="E30" s="403"/>
      <c r="F30" s="403">
        <v>0</v>
      </c>
      <c r="G30" s="403"/>
      <c r="H30" s="403"/>
    </row>
    <row r="31" spans="1:9" x14ac:dyDescent="0.2">
      <c r="B31" s="24">
        <v>43921</v>
      </c>
      <c r="C31" s="1">
        <f>C29+1</f>
        <v>5</v>
      </c>
      <c r="D31" s="1">
        <f>D29</f>
        <v>4</v>
      </c>
      <c r="F31" s="1">
        <f t="shared" si="0"/>
        <v>4</v>
      </c>
      <c r="H31" s="1">
        <f>H29-E31</f>
        <v>100</v>
      </c>
    </row>
    <row r="32" spans="1:9" x14ac:dyDescent="0.2">
      <c r="B32" s="402">
        <v>44012</v>
      </c>
      <c r="C32" s="403"/>
      <c r="D32" s="403"/>
      <c r="E32" s="403"/>
      <c r="F32" s="403">
        <v>0</v>
      </c>
      <c r="G32" s="403"/>
      <c r="H32" s="403"/>
    </row>
    <row r="33" spans="2:8" x14ac:dyDescent="0.2">
      <c r="B33" s="24">
        <v>44104</v>
      </c>
      <c r="C33" s="1">
        <f>C31+1</f>
        <v>6</v>
      </c>
      <c r="D33" s="1">
        <f>D31</f>
        <v>4</v>
      </c>
      <c r="E33" s="1">
        <f>100/2</f>
        <v>50</v>
      </c>
      <c r="F33" s="1">
        <f t="shared" si="0"/>
        <v>54</v>
      </c>
      <c r="H33" s="1">
        <f>H31-E33</f>
        <v>50</v>
      </c>
    </row>
    <row r="34" spans="2:8" x14ac:dyDescent="0.2">
      <c r="B34" s="402">
        <v>44196</v>
      </c>
      <c r="C34" s="403"/>
      <c r="D34" s="403"/>
      <c r="E34" s="403"/>
      <c r="F34" s="403">
        <v>0</v>
      </c>
      <c r="G34" s="403"/>
      <c r="H34" s="403"/>
    </row>
    <row r="35" spans="2:8" x14ac:dyDescent="0.2">
      <c r="B35" s="24">
        <v>44286</v>
      </c>
      <c r="C35" s="1">
        <f>C33+1</f>
        <v>7</v>
      </c>
      <c r="D35" s="1">
        <f>4%*H33</f>
        <v>2</v>
      </c>
      <c r="F35" s="1">
        <f t="shared" si="0"/>
        <v>2</v>
      </c>
      <c r="H35" s="1">
        <f>H33-E35</f>
        <v>50</v>
      </c>
    </row>
    <row r="36" spans="2:8" x14ac:dyDescent="0.2">
      <c r="B36" s="402">
        <v>44377</v>
      </c>
      <c r="C36" s="403"/>
      <c r="D36" s="403"/>
      <c r="E36" s="403"/>
      <c r="F36" s="403">
        <v>0</v>
      </c>
      <c r="G36" s="403"/>
      <c r="H36" s="403"/>
    </row>
    <row r="37" spans="2:8" x14ac:dyDescent="0.2">
      <c r="B37" s="24">
        <v>44469</v>
      </c>
      <c r="C37" s="1">
        <f>C35+1</f>
        <v>8</v>
      </c>
      <c r="D37" s="1">
        <f>4%*H35</f>
        <v>2</v>
      </c>
      <c r="E37" s="1">
        <f>100/2</f>
        <v>50</v>
      </c>
      <c r="F37" s="1">
        <f t="shared" si="0"/>
        <v>52</v>
      </c>
      <c r="H37" s="1">
        <f>H35-E37</f>
        <v>0</v>
      </c>
    </row>
    <row r="39" spans="2:8" x14ac:dyDescent="0.2">
      <c r="B39" s="1" t="s">
        <v>2632</v>
      </c>
      <c r="F39" s="246">
        <f>IRR(F22:F37)</f>
        <v>1.7213202269790617E-2</v>
      </c>
    </row>
    <row r="40" spans="2:8" x14ac:dyDescent="0.2">
      <c r="B40" s="1" t="s">
        <v>2634</v>
      </c>
      <c r="F40" s="178">
        <f>(1+F39)^4-1</f>
        <v>7.0651063560877025E-2</v>
      </c>
      <c r="H40" s="1" t="s">
        <v>2633</v>
      </c>
    </row>
    <row r="42" spans="2:8" x14ac:dyDescent="0.2">
      <c r="B42" s="1" t="s">
        <v>2635</v>
      </c>
    </row>
    <row r="43" spans="2:8" x14ac:dyDescent="0.2">
      <c r="B43" s="1" t="s">
        <v>2636</v>
      </c>
    </row>
    <row r="44" spans="2:8" x14ac:dyDescent="0.2">
      <c r="B44" s="1" t="s">
        <v>2637</v>
      </c>
    </row>
    <row r="45" spans="2:8" x14ac:dyDescent="0.2">
      <c r="B45" s="1" t="s">
        <v>2638</v>
      </c>
    </row>
    <row r="46" spans="2:8" x14ac:dyDescent="0.2">
      <c r="B46" s="1" t="s">
        <v>2639</v>
      </c>
    </row>
    <row r="53" spans="1:8" x14ac:dyDescent="0.2">
      <c r="A53" s="153" t="s">
        <v>2604</v>
      </c>
      <c r="B53" s="153"/>
      <c r="C53" s="153"/>
      <c r="D53" s="153"/>
      <c r="E53" s="153"/>
      <c r="F53" s="153"/>
      <c r="G53" s="153"/>
      <c r="H53" s="153"/>
    </row>
    <row r="54" spans="1:8" ht="17" thickBot="1" x14ac:dyDescent="0.25"/>
    <row r="55" spans="1:8" x14ac:dyDescent="0.2">
      <c r="A55" s="57" t="s">
        <v>361</v>
      </c>
      <c r="B55" s="17"/>
      <c r="C55" s="17"/>
      <c r="D55" s="17"/>
      <c r="E55" s="17"/>
      <c r="F55" s="17"/>
      <c r="G55" s="17"/>
      <c r="H55" s="18"/>
    </row>
    <row r="56" spans="1:8" x14ac:dyDescent="0.2">
      <c r="A56" s="19" t="s">
        <v>362</v>
      </c>
      <c r="H56" s="20"/>
    </row>
    <row r="57" spans="1:8" x14ac:dyDescent="0.2">
      <c r="A57" s="19"/>
      <c r="H57" s="20"/>
    </row>
    <row r="58" spans="1:8" x14ac:dyDescent="0.2">
      <c r="A58" s="19" t="s">
        <v>363</v>
      </c>
      <c r="H58" s="20"/>
    </row>
    <row r="59" spans="1:8" x14ac:dyDescent="0.2">
      <c r="A59" s="19" t="s">
        <v>364</v>
      </c>
      <c r="H59" s="20"/>
    </row>
    <row r="60" spans="1:8" x14ac:dyDescent="0.2">
      <c r="A60" s="19" t="s">
        <v>2640</v>
      </c>
      <c r="H60" s="20"/>
    </row>
    <row r="61" spans="1:8" x14ac:dyDescent="0.2">
      <c r="A61" s="19" t="s">
        <v>365</v>
      </c>
      <c r="H61" s="20"/>
    </row>
    <row r="62" spans="1:8" x14ac:dyDescent="0.2">
      <c r="A62" s="19" t="s">
        <v>366</v>
      </c>
      <c r="H62" s="20"/>
    </row>
    <row r="63" spans="1:8" x14ac:dyDescent="0.2">
      <c r="A63" s="19" t="s">
        <v>367</v>
      </c>
      <c r="H63" s="20"/>
    </row>
    <row r="64" spans="1:8" x14ac:dyDescent="0.2">
      <c r="A64" s="19" t="s">
        <v>368</v>
      </c>
      <c r="H64" s="20"/>
    </row>
    <row r="65" spans="1:8" ht="17" thickBot="1" x14ac:dyDescent="0.25">
      <c r="A65" s="21" t="s">
        <v>369</v>
      </c>
      <c r="B65" s="22"/>
      <c r="C65" s="22"/>
      <c r="D65" s="22"/>
      <c r="E65" s="22"/>
      <c r="F65" s="22"/>
      <c r="G65" s="22"/>
      <c r="H65" s="23"/>
    </row>
    <row r="66" spans="1:8" ht="17" thickBot="1" x14ac:dyDescent="0.25"/>
    <row r="67" spans="1:8" x14ac:dyDescent="0.2">
      <c r="A67" s="57" t="s">
        <v>370</v>
      </c>
      <c r="B67" s="17"/>
      <c r="C67" s="17"/>
      <c r="D67" s="17"/>
      <c r="E67" s="17"/>
      <c r="F67" s="17"/>
      <c r="G67" s="17"/>
      <c r="H67" s="18"/>
    </row>
    <row r="68" spans="1:8" x14ac:dyDescent="0.2">
      <c r="A68" s="19" t="s">
        <v>371</v>
      </c>
      <c r="H68" s="20"/>
    </row>
    <row r="69" spans="1:8" x14ac:dyDescent="0.2">
      <c r="A69" s="19" t="s">
        <v>372</v>
      </c>
      <c r="H69" s="20"/>
    </row>
    <row r="70" spans="1:8" x14ac:dyDescent="0.2">
      <c r="A70" s="19" t="s">
        <v>373</v>
      </c>
      <c r="H70" s="20"/>
    </row>
    <row r="71" spans="1:8" x14ac:dyDescent="0.2">
      <c r="A71" s="19" t="s">
        <v>374</v>
      </c>
      <c r="H71" s="20"/>
    </row>
    <row r="72" spans="1:8" ht="17" thickBot="1" x14ac:dyDescent="0.25">
      <c r="A72" s="21" t="s">
        <v>375</v>
      </c>
      <c r="B72" s="22"/>
      <c r="C72" s="22"/>
      <c r="D72" s="22"/>
      <c r="E72" s="22"/>
      <c r="F72" s="22"/>
      <c r="G72" s="22"/>
      <c r="H72" s="23"/>
    </row>
    <row r="74" spans="1:8" ht="17" thickBot="1" x14ac:dyDescent="0.25">
      <c r="A74" s="1" t="s">
        <v>3354</v>
      </c>
    </row>
    <row r="75" spans="1:8" x14ac:dyDescent="0.2">
      <c r="E75" s="498" t="s">
        <v>3360</v>
      </c>
    </row>
    <row r="76" spans="1:8" x14ac:dyDescent="0.2">
      <c r="C76" s="180" t="s">
        <v>3355</v>
      </c>
      <c r="D76" s="180" t="s">
        <v>3357</v>
      </c>
      <c r="E76" s="499" t="s">
        <v>3361</v>
      </c>
      <c r="F76" s="180" t="s">
        <v>3365</v>
      </c>
    </row>
    <row r="77" spans="1:8" x14ac:dyDescent="0.2">
      <c r="C77" s="180" t="s">
        <v>3356</v>
      </c>
      <c r="D77" s="180" t="s">
        <v>3358</v>
      </c>
      <c r="E77" s="499" t="s">
        <v>3362</v>
      </c>
      <c r="F77" s="180" t="s">
        <v>3366</v>
      </c>
    </row>
    <row r="78" spans="1:8" x14ac:dyDescent="0.2">
      <c r="C78" s="180"/>
      <c r="D78" s="180"/>
      <c r="E78" s="500"/>
      <c r="F78" s="497"/>
    </row>
    <row r="79" spans="1:8" x14ac:dyDescent="0.2">
      <c r="C79" s="180" t="s">
        <v>203</v>
      </c>
      <c r="D79" s="180" t="s">
        <v>203</v>
      </c>
      <c r="E79" s="499">
        <v>100</v>
      </c>
      <c r="F79" s="180" t="s">
        <v>203</v>
      </c>
    </row>
    <row r="80" spans="1:8" x14ac:dyDescent="0.2">
      <c r="C80" s="180" t="s">
        <v>203</v>
      </c>
      <c r="D80" s="180" t="s">
        <v>203</v>
      </c>
      <c r="E80" s="499" t="s">
        <v>3363</v>
      </c>
      <c r="F80" s="180" t="s">
        <v>203</v>
      </c>
    </row>
    <row r="81" spans="1:8" x14ac:dyDescent="0.2">
      <c r="C81" s="180" t="s">
        <v>203</v>
      </c>
      <c r="D81" s="180" t="s">
        <v>3359</v>
      </c>
      <c r="E81" s="499" t="s">
        <v>3364</v>
      </c>
      <c r="F81" s="180" t="s">
        <v>203</v>
      </c>
    </row>
    <row r="82" spans="1:8" x14ac:dyDescent="0.2">
      <c r="C82" s="180" t="s">
        <v>203</v>
      </c>
      <c r="D82" s="180" t="s">
        <v>3359</v>
      </c>
      <c r="E82" s="500"/>
      <c r="F82" s="180" t="s">
        <v>203</v>
      </c>
    </row>
    <row r="83" spans="1:8" ht="17" thickBot="1" x14ac:dyDescent="0.25">
      <c r="C83" s="180" t="s">
        <v>304</v>
      </c>
      <c r="D83" s="180" t="s">
        <v>3359</v>
      </c>
      <c r="E83" s="501"/>
      <c r="F83" s="180" t="s">
        <v>203</v>
      </c>
    </row>
    <row r="86" spans="1:8" x14ac:dyDescent="0.2">
      <c r="D86" s="37" t="s">
        <v>3367</v>
      </c>
      <c r="F86" s="37" t="s">
        <v>3368</v>
      </c>
    </row>
    <row r="87" spans="1:8" x14ac:dyDescent="0.2">
      <c r="D87" s="37" t="s">
        <v>3019</v>
      </c>
      <c r="F87" s="37" t="s">
        <v>3369</v>
      </c>
    </row>
    <row r="89" spans="1:8" x14ac:dyDescent="0.2">
      <c r="D89" s="565" t="s">
        <v>3370</v>
      </c>
      <c r="E89" s="565"/>
      <c r="F89" s="565"/>
    </row>
    <row r="91" spans="1:8" x14ac:dyDescent="0.2">
      <c r="A91" s="81" t="s">
        <v>3438</v>
      </c>
      <c r="B91" s="38"/>
      <c r="C91" s="38"/>
      <c r="D91" s="38"/>
      <c r="E91" s="38"/>
      <c r="F91" s="38"/>
      <c r="G91" s="38"/>
      <c r="H91" s="38" t="s">
        <v>2588</v>
      </c>
    </row>
    <row r="92" spans="1:8" x14ac:dyDescent="0.2">
      <c r="A92" s="1" t="s">
        <v>376</v>
      </c>
    </row>
    <row r="93" spans="1:8" x14ac:dyDescent="0.2">
      <c r="A93" s="1" t="s">
        <v>2587</v>
      </c>
    </row>
    <row r="94" spans="1:8" x14ac:dyDescent="0.2">
      <c r="A94" s="1" t="s">
        <v>377</v>
      </c>
    </row>
    <row r="96" spans="1:8" x14ac:dyDescent="0.2">
      <c r="C96" s="24">
        <v>44561</v>
      </c>
      <c r="E96" s="76">
        <v>44364</v>
      </c>
      <c r="G96" s="24">
        <v>44197</v>
      </c>
    </row>
    <row r="97" spans="1:7" x14ac:dyDescent="0.2">
      <c r="E97" s="37"/>
    </row>
    <row r="98" spans="1:7" x14ac:dyDescent="0.2">
      <c r="C98" s="37">
        <v>100</v>
      </c>
      <c r="D98" s="37"/>
      <c r="E98" s="37">
        <v>97</v>
      </c>
      <c r="F98" s="37"/>
      <c r="G98" s="37" t="s">
        <v>2312</v>
      </c>
    </row>
    <row r="99" spans="1:7" x14ac:dyDescent="0.2">
      <c r="C99" s="37" t="s">
        <v>2452</v>
      </c>
      <c r="D99" s="37"/>
      <c r="E99" s="37" t="s">
        <v>3371</v>
      </c>
      <c r="F99" s="37"/>
      <c r="G99" s="37"/>
    </row>
    <row r="100" spans="1:7" x14ac:dyDescent="0.2">
      <c r="C100" s="37" t="s">
        <v>3372</v>
      </c>
      <c r="D100" s="37"/>
      <c r="E100" s="37"/>
      <c r="F100" s="37"/>
      <c r="G100" s="37"/>
    </row>
    <row r="101" spans="1:7" x14ac:dyDescent="0.2">
      <c r="C101" s="37" t="s">
        <v>3364</v>
      </c>
      <c r="D101" s="37"/>
      <c r="E101" s="37"/>
      <c r="F101" s="37"/>
      <c r="G101" s="37"/>
    </row>
    <row r="102" spans="1:7" x14ac:dyDescent="0.2">
      <c r="C102" s="37"/>
      <c r="D102" s="37"/>
      <c r="E102" s="37"/>
      <c r="F102" s="37"/>
      <c r="G102" s="37"/>
    </row>
    <row r="103" spans="1:7" hidden="1" x14ac:dyDescent="0.2">
      <c r="A103" s="1" t="s">
        <v>378</v>
      </c>
    </row>
    <row r="104" spans="1:7" hidden="1" x14ac:dyDescent="0.2">
      <c r="A104" s="1" t="s">
        <v>379</v>
      </c>
    </row>
    <row r="105" spans="1:7" hidden="1" x14ac:dyDescent="0.2">
      <c r="A105" s="1" t="s">
        <v>380</v>
      </c>
    </row>
    <row r="106" spans="1:7" hidden="1" x14ac:dyDescent="0.2">
      <c r="A106" s="1" t="s">
        <v>381</v>
      </c>
    </row>
    <row r="107" spans="1:7" hidden="1" x14ac:dyDescent="0.2"/>
    <row r="108" spans="1:7" hidden="1" x14ac:dyDescent="0.2">
      <c r="A108" s="1" t="s">
        <v>382</v>
      </c>
    </row>
    <row r="109" spans="1:7" hidden="1" x14ac:dyDescent="0.2">
      <c r="A109" s="1" t="s">
        <v>2641</v>
      </c>
    </row>
    <row r="110" spans="1:7" hidden="1" x14ac:dyDescent="0.2">
      <c r="A110" s="1" t="s">
        <v>384</v>
      </c>
    </row>
    <row r="111" spans="1:7" hidden="1" x14ac:dyDescent="0.2">
      <c r="A111" s="1" t="s">
        <v>385</v>
      </c>
    </row>
    <row r="112" spans="1:7" hidden="1" x14ac:dyDescent="0.2">
      <c r="A112" s="13"/>
    </row>
    <row r="113" spans="1:9" x14ac:dyDescent="0.2">
      <c r="A113" s="1" t="s">
        <v>386</v>
      </c>
      <c r="D113" s="14" t="s">
        <v>3373</v>
      </c>
      <c r="E113" s="8"/>
      <c r="F113" s="8"/>
      <c r="G113" s="8"/>
      <c r="H113" s="8"/>
    </row>
    <row r="114" spans="1:9" x14ac:dyDescent="0.2">
      <c r="D114" s="8"/>
      <c r="E114" s="8"/>
      <c r="F114" s="8"/>
      <c r="G114" s="8"/>
      <c r="H114" s="8"/>
    </row>
    <row r="115" spans="1:9" x14ac:dyDescent="0.2">
      <c r="A115" s="1" t="s">
        <v>2590</v>
      </c>
      <c r="B115" s="79">
        <v>44364</v>
      </c>
      <c r="C115" s="7"/>
      <c r="D115" s="8" t="s">
        <v>2592</v>
      </c>
      <c r="E115" s="8"/>
      <c r="F115" s="8"/>
      <c r="G115" s="8"/>
      <c r="H115" s="8"/>
    </row>
    <row r="116" spans="1:9" x14ac:dyDescent="0.2">
      <c r="A116" s="1" t="s">
        <v>2591</v>
      </c>
      <c r="B116" s="79">
        <v>44561</v>
      </c>
      <c r="C116" s="7"/>
      <c r="D116" s="502">
        <f>RATE(D117,D119,D118,D120)</f>
        <v>5.7755858399572084E-2</v>
      </c>
      <c r="E116" s="8" t="s">
        <v>117</v>
      </c>
      <c r="F116" s="8" t="s">
        <v>392</v>
      </c>
      <c r="G116" s="8"/>
      <c r="H116" s="8"/>
    </row>
    <row r="117" spans="1:9" x14ac:dyDescent="0.2">
      <c r="A117" s="1" t="s">
        <v>2594</v>
      </c>
      <c r="B117" s="8">
        <f>B116-B115+1</f>
        <v>198</v>
      </c>
      <c r="C117" s="7"/>
      <c r="D117" s="143">
        <f>198/365</f>
        <v>0.54246575342465753</v>
      </c>
      <c r="E117" s="8" t="s">
        <v>119</v>
      </c>
      <c r="F117" s="8" t="s">
        <v>2593</v>
      </c>
      <c r="G117" s="8"/>
      <c r="H117" s="8"/>
    </row>
    <row r="118" spans="1:9" x14ac:dyDescent="0.2">
      <c r="B118" s="7"/>
      <c r="C118" s="7"/>
      <c r="D118" s="62">
        <v>-97</v>
      </c>
      <c r="E118" s="8" t="s">
        <v>121</v>
      </c>
      <c r="F118" s="8" t="s">
        <v>2642</v>
      </c>
      <c r="G118" s="8"/>
      <c r="H118" s="8"/>
    </row>
    <row r="119" spans="1:9" x14ac:dyDescent="0.2">
      <c r="B119" s="7"/>
      <c r="C119" s="7"/>
      <c r="D119" s="62">
        <v>0</v>
      </c>
      <c r="E119" s="8" t="s">
        <v>123</v>
      </c>
      <c r="F119" s="8" t="s">
        <v>2645</v>
      </c>
      <c r="G119" s="8"/>
      <c r="H119" s="8"/>
    </row>
    <row r="120" spans="1:9" x14ac:dyDescent="0.2">
      <c r="B120" s="7"/>
      <c r="C120" s="7"/>
      <c r="D120" s="62">
        <v>100</v>
      </c>
      <c r="E120" s="8" t="s">
        <v>125</v>
      </c>
      <c r="F120" s="8" t="s">
        <v>2646</v>
      </c>
      <c r="G120" s="8"/>
      <c r="H120" s="8"/>
    </row>
    <row r="121" spans="1:9" x14ac:dyDescent="0.2">
      <c r="D121" s="8"/>
      <c r="E121" s="8"/>
      <c r="F121" s="8"/>
      <c r="G121" s="8"/>
      <c r="H121" s="8"/>
    </row>
    <row r="122" spans="1:9" ht="17" thickBot="1" x14ac:dyDescent="0.25">
      <c r="A122" s="81" t="s">
        <v>3439</v>
      </c>
      <c r="B122" s="38"/>
      <c r="C122" s="38"/>
      <c r="D122" s="38"/>
      <c r="E122" s="38"/>
      <c r="F122" s="38"/>
      <c r="G122" s="38"/>
      <c r="H122" s="38" t="s">
        <v>2589</v>
      </c>
    </row>
    <row r="123" spans="1:9" x14ac:dyDescent="0.2">
      <c r="A123" s="1" t="s">
        <v>2647</v>
      </c>
      <c r="G123" s="390" t="s">
        <v>3374</v>
      </c>
      <c r="H123" s="17"/>
      <c r="I123" s="18"/>
    </row>
    <row r="124" spans="1:9" x14ac:dyDescent="0.2">
      <c r="A124" s="1" t="s">
        <v>2606</v>
      </c>
      <c r="G124" s="391" t="s">
        <v>3375</v>
      </c>
      <c r="I124" s="20"/>
    </row>
    <row r="125" spans="1:9" x14ac:dyDescent="0.2">
      <c r="A125" s="1" t="s">
        <v>2607</v>
      </c>
      <c r="G125" s="391" t="s">
        <v>3376</v>
      </c>
      <c r="I125" s="20"/>
    </row>
    <row r="126" spans="1:9" x14ac:dyDescent="0.2">
      <c r="A126" s="1" t="s">
        <v>2608</v>
      </c>
      <c r="G126" s="391" t="s">
        <v>3380</v>
      </c>
      <c r="I126" s="20"/>
    </row>
    <row r="127" spans="1:9" x14ac:dyDescent="0.2">
      <c r="G127" s="391" t="s">
        <v>3377</v>
      </c>
      <c r="I127" s="20"/>
    </row>
    <row r="128" spans="1:9" x14ac:dyDescent="0.2">
      <c r="A128" s="1" t="s">
        <v>386</v>
      </c>
      <c r="G128" s="391" t="s">
        <v>3378</v>
      </c>
      <c r="I128" s="20"/>
    </row>
    <row r="129" spans="1:9" ht="17" thickBot="1" x14ac:dyDescent="0.25">
      <c r="G129" s="392" t="s">
        <v>3379</v>
      </c>
      <c r="H129" s="22"/>
      <c r="I129" s="23"/>
    </row>
    <row r="130" spans="1:9" x14ac:dyDescent="0.2">
      <c r="A130" s="1" t="s">
        <v>2643</v>
      </c>
      <c r="B130" s="24">
        <v>44005</v>
      </c>
      <c r="D130" s="1" t="s">
        <v>2592</v>
      </c>
    </row>
    <row r="131" spans="1:9" x14ac:dyDescent="0.2">
      <c r="A131" s="1" t="s">
        <v>2644</v>
      </c>
      <c r="B131" s="24">
        <v>44196</v>
      </c>
      <c r="D131" s="502">
        <f>RATE(D132,D134,D133,D135)</f>
        <v>5.3698350064480697E-2</v>
      </c>
      <c r="E131" s="1" t="s">
        <v>117</v>
      </c>
    </row>
    <row r="132" spans="1:9" x14ac:dyDescent="0.2">
      <c r="A132" s="1" t="s">
        <v>2594</v>
      </c>
      <c r="B132" s="1">
        <f>B131-B130</f>
        <v>191</v>
      </c>
      <c r="D132" s="143">
        <f>B132/365</f>
        <v>0.52328767123287667</v>
      </c>
      <c r="E132" s="1" t="s">
        <v>119</v>
      </c>
    </row>
    <row r="133" spans="1:9" x14ac:dyDescent="0.2">
      <c r="D133" s="37">
        <v>-97.3</v>
      </c>
      <c r="E133" s="1" t="s">
        <v>121</v>
      </c>
    </row>
    <row r="134" spans="1:9" x14ac:dyDescent="0.2">
      <c r="D134" s="62">
        <v>0</v>
      </c>
      <c r="E134" s="1" t="s">
        <v>123</v>
      </c>
    </row>
    <row r="135" spans="1:9" x14ac:dyDescent="0.2">
      <c r="D135" s="62">
        <v>100</v>
      </c>
      <c r="E135" s="1" t="s">
        <v>125</v>
      </c>
    </row>
    <row r="137" spans="1:9" x14ac:dyDescent="0.2">
      <c r="A137" s="81" t="s">
        <v>3440</v>
      </c>
      <c r="B137" s="38"/>
      <c r="C137" s="38"/>
      <c r="D137" s="38"/>
      <c r="E137" s="38"/>
      <c r="F137" s="38"/>
      <c r="G137" s="38"/>
      <c r="H137" s="38" t="s">
        <v>2605</v>
      </c>
    </row>
    <row r="138" spans="1:9" x14ac:dyDescent="0.2">
      <c r="A138" s="1" t="s">
        <v>376</v>
      </c>
    </row>
    <row r="139" spans="1:9" x14ac:dyDescent="0.2">
      <c r="A139" s="1" t="s">
        <v>388</v>
      </c>
    </row>
    <row r="140" spans="1:9" x14ac:dyDescent="0.2">
      <c r="A140" s="1" t="s">
        <v>389</v>
      </c>
    </row>
    <row r="142" spans="1:9" x14ac:dyDescent="0.2">
      <c r="A142" s="1" t="s">
        <v>382</v>
      </c>
    </row>
    <row r="143" spans="1:9" x14ac:dyDescent="0.2">
      <c r="A143" s="1" t="s">
        <v>383</v>
      </c>
    </row>
    <row r="144" spans="1:9" x14ac:dyDescent="0.2">
      <c r="A144" s="1" t="s">
        <v>390</v>
      </c>
    </row>
    <row r="145" spans="1:6" x14ac:dyDescent="0.2">
      <c r="A145" s="1" t="s">
        <v>391</v>
      </c>
    </row>
    <row r="146" spans="1:6" x14ac:dyDescent="0.2">
      <c r="A146" s="13"/>
    </row>
    <row r="147" spans="1:6" x14ac:dyDescent="0.2">
      <c r="A147" s="1" t="s">
        <v>386</v>
      </c>
    </row>
    <row r="148" spans="1:6" x14ac:dyDescent="0.2">
      <c r="A148" s="1" t="s">
        <v>2590</v>
      </c>
      <c r="B148" s="24">
        <v>44437</v>
      </c>
      <c r="D148" s="1" t="s">
        <v>2592</v>
      </c>
    </row>
    <row r="149" spans="1:6" x14ac:dyDescent="0.2">
      <c r="A149" s="1" t="s">
        <v>2591</v>
      </c>
      <c r="B149" s="24">
        <v>44561</v>
      </c>
      <c r="D149" s="9">
        <v>0.02</v>
      </c>
      <c r="E149" s="1" t="s">
        <v>117</v>
      </c>
      <c r="F149" s="1" t="s">
        <v>387</v>
      </c>
    </row>
    <row r="150" spans="1:6" x14ac:dyDescent="0.2">
      <c r="A150" s="1" t="s">
        <v>2594</v>
      </c>
      <c r="B150" s="1">
        <f>B149-B148+1</f>
        <v>125</v>
      </c>
      <c r="D150" s="84">
        <f>B150/365</f>
        <v>0.34246575342465752</v>
      </c>
      <c r="E150" s="1" t="s">
        <v>119</v>
      </c>
      <c r="F150" s="1" t="s">
        <v>3381</v>
      </c>
    </row>
    <row r="151" spans="1:6" x14ac:dyDescent="0.2">
      <c r="D151" s="10">
        <f>PV(D149,D150,D152,D153)</f>
        <v>-99.324122230181899</v>
      </c>
      <c r="E151" s="1" t="s">
        <v>121</v>
      </c>
      <c r="F151" s="1" t="s">
        <v>3382</v>
      </c>
    </row>
    <row r="152" spans="1:6" x14ac:dyDescent="0.2">
      <c r="D152" s="8">
        <v>0</v>
      </c>
      <c r="E152" s="1" t="s">
        <v>123</v>
      </c>
      <c r="F152" s="1" t="s">
        <v>3383</v>
      </c>
    </row>
    <row r="153" spans="1:6" x14ac:dyDescent="0.2">
      <c r="D153" s="8">
        <v>100</v>
      </c>
      <c r="E153" s="1" t="s">
        <v>125</v>
      </c>
      <c r="F153" s="1" t="s">
        <v>3384</v>
      </c>
    </row>
    <row r="154" spans="1:6" x14ac:dyDescent="0.2">
      <c r="D154" s="8"/>
    </row>
    <row r="155" spans="1:6" x14ac:dyDescent="0.2">
      <c r="D155" s="8"/>
    </row>
    <row r="156" spans="1:6" x14ac:dyDescent="0.2">
      <c r="D156" s="8"/>
    </row>
    <row r="166" spans="1:8" x14ac:dyDescent="0.2">
      <c r="D166" s="8"/>
    </row>
    <row r="167" spans="1:8" x14ac:dyDescent="0.2">
      <c r="A167" s="153" t="s">
        <v>2623</v>
      </c>
      <c r="B167" s="153"/>
      <c r="C167" s="153"/>
      <c r="D167" s="153"/>
      <c r="E167" s="153"/>
      <c r="F167" s="153"/>
      <c r="G167" s="153"/>
      <c r="H167" s="153"/>
    </row>
    <row r="168" spans="1:8" ht="17" thickBot="1" x14ac:dyDescent="0.25"/>
    <row r="169" spans="1:8" x14ac:dyDescent="0.2">
      <c r="A169" s="57" t="s">
        <v>393</v>
      </c>
      <c r="B169" s="17"/>
      <c r="C169" s="17"/>
      <c r="D169" s="17"/>
      <c r="E169" s="17"/>
      <c r="F169" s="17"/>
      <c r="G169" s="17"/>
      <c r="H169" s="18"/>
    </row>
    <row r="170" spans="1:8" x14ac:dyDescent="0.2">
      <c r="A170" s="19" t="s">
        <v>394</v>
      </c>
      <c r="H170" s="20"/>
    </row>
    <row r="171" spans="1:8" x14ac:dyDescent="0.2">
      <c r="A171" s="19" t="s">
        <v>3385</v>
      </c>
      <c r="H171" s="20"/>
    </row>
    <row r="172" spans="1:8" x14ac:dyDescent="0.2">
      <c r="A172" s="19" t="s">
        <v>2648</v>
      </c>
      <c r="H172" s="20"/>
    </row>
    <row r="173" spans="1:8" ht="17" thickBot="1" x14ac:dyDescent="0.25">
      <c r="A173" s="21" t="s">
        <v>395</v>
      </c>
      <c r="B173" s="22"/>
      <c r="C173" s="22"/>
      <c r="D173" s="22"/>
      <c r="E173" s="22"/>
      <c r="F173" s="22"/>
      <c r="G173" s="22"/>
      <c r="H173" s="23"/>
    </row>
    <row r="174" spans="1:8" ht="17" thickBot="1" x14ac:dyDescent="0.25"/>
    <row r="175" spans="1:8" x14ac:dyDescent="0.2">
      <c r="A175" s="57" t="s">
        <v>396</v>
      </c>
      <c r="B175" s="17"/>
      <c r="C175" s="17"/>
      <c r="D175" s="17"/>
      <c r="E175" s="17"/>
      <c r="F175" s="17"/>
      <c r="G175" s="17"/>
      <c r="H175" s="18"/>
    </row>
    <row r="176" spans="1:8" x14ac:dyDescent="0.2">
      <c r="A176" s="19" t="s">
        <v>397</v>
      </c>
      <c r="H176" s="20"/>
    </row>
    <row r="177" spans="1:8" ht="17" thickBot="1" x14ac:dyDescent="0.25">
      <c r="A177" s="21" t="s">
        <v>398</v>
      </c>
      <c r="B177" s="22"/>
      <c r="C177" s="22"/>
      <c r="D177" s="22"/>
      <c r="E177" s="22"/>
      <c r="F177" s="22"/>
      <c r="G177" s="22"/>
      <c r="H177" s="23"/>
    </row>
    <row r="179" spans="1:8" x14ac:dyDescent="0.2">
      <c r="A179" s="81" t="s">
        <v>3441</v>
      </c>
      <c r="B179" s="38"/>
      <c r="C179" s="38"/>
      <c r="D179" s="38"/>
      <c r="E179" s="38"/>
      <c r="F179" s="38" t="s">
        <v>2622</v>
      </c>
      <c r="G179" s="38"/>
      <c r="H179" s="38"/>
    </row>
    <row r="181" spans="1:8" x14ac:dyDescent="0.2">
      <c r="A181" s="1" t="s">
        <v>2613</v>
      </c>
    </row>
    <row r="183" spans="1:8" x14ac:dyDescent="0.2">
      <c r="A183" s="1" t="s">
        <v>2649</v>
      </c>
    </row>
    <row r="184" spans="1:8" x14ac:dyDescent="0.2">
      <c r="A184" s="1" t="s">
        <v>2650</v>
      </c>
    </row>
    <row r="186" spans="1:8" x14ac:dyDescent="0.2">
      <c r="A186" s="4" t="s">
        <v>2612</v>
      </c>
    </row>
    <row r="187" spans="1:8" x14ac:dyDescent="0.2">
      <c r="A187" s="8"/>
      <c r="B187" s="8"/>
      <c r="C187" s="8"/>
      <c r="D187" s="8"/>
      <c r="E187" s="8"/>
      <c r="F187" s="8"/>
      <c r="G187" s="8"/>
      <c r="H187" s="8"/>
    </row>
    <row r="188" spans="1:8" x14ac:dyDescent="0.2">
      <c r="A188" s="8"/>
      <c r="B188" s="8"/>
      <c r="C188" s="8"/>
      <c r="D188" s="9">
        <v>0.11</v>
      </c>
      <c r="E188" s="8" t="s">
        <v>117</v>
      </c>
      <c r="F188" s="8" t="s">
        <v>3386</v>
      </c>
      <c r="G188" s="8"/>
      <c r="H188" s="8"/>
    </row>
    <row r="189" spans="1:8" x14ac:dyDescent="0.2">
      <c r="A189" s="8"/>
      <c r="B189" s="8"/>
      <c r="C189" s="8"/>
      <c r="D189" s="8">
        <v>999</v>
      </c>
      <c r="E189" s="8" t="s">
        <v>119</v>
      </c>
      <c r="F189" s="8" t="s">
        <v>405</v>
      </c>
      <c r="G189" s="8"/>
      <c r="H189" s="8"/>
    </row>
    <row r="190" spans="1:8" x14ac:dyDescent="0.2">
      <c r="A190" s="8" t="s">
        <v>2614</v>
      </c>
      <c r="B190" s="8"/>
      <c r="C190" s="8"/>
      <c r="D190" s="10">
        <f>PV(D188,D189,D191,D192)</f>
        <v>-81.818181818181827</v>
      </c>
      <c r="E190" s="8" t="s">
        <v>121</v>
      </c>
      <c r="F190" s="8"/>
      <c r="G190" s="8"/>
      <c r="H190" s="8"/>
    </row>
    <row r="191" spans="1:8" x14ac:dyDescent="0.2">
      <c r="A191" s="8" t="s">
        <v>2651</v>
      </c>
      <c r="B191" s="8"/>
      <c r="C191" s="8"/>
      <c r="D191" s="8">
        <f>9%*100</f>
        <v>9</v>
      </c>
      <c r="E191" s="8" t="s">
        <v>123</v>
      </c>
      <c r="F191" s="8"/>
      <c r="G191" s="8"/>
      <c r="H191" s="8"/>
    </row>
    <row r="192" spans="1:8" x14ac:dyDescent="0.2">
      <c r="A192" s="8" t="s">
        <v>2652</v>
      </c>
      <c r="B192" s="8"/>
      <c r="C192" s="8"/>
      <c r="D192" s="8">
        <v>0</v>
      </c>
      <c r="E192" s="8" t="s">
        <v>125</v>
      </c>
      <c r="F192" s="8" t="s">
        <v>407</v>
      </c>
      <c r="G192" s="8"/>
      <c r="H192" s="8"/>
    </row>
    <row r="193" spans="1:8" x14ac:dyDescent="0.2">
      <c r="A193" s="8"/>
      <c r="B193" s="8"/>
      <c r="C193" s="8"/>
      <c r="D193" s="8"/>
      <c r="E193" s="8"/>
      <c r="F193" s="8"/>
      <c r="G193" s="8"/>
      <c r="H193" s="8"/>
    </row>
    <row r="194" spans="1:8" x14ac:dyDescent="0.2">
      <c r="A194" s="4" t="s">
        <v>2615</v>
      </c>
    </row>
    <row r="196" spans="1:8" x14ac:dyDescent="0.2">
      <c r="A196" s="1" t="s">
        <v>3387</v>
      </c>
    </row>
    <row r="197" spans="1:8" x14ac:dyDescent="0.2">
      <c r="A197" s="1" t="s">
        <v>2616</v>
      </c>
    </row>
    <row r="199" spans="1:8" x14ac:dyDescent="0.2">
      <c r="A199" s="1" t="s">
        <v>79</v>
      </c>
    </row>
    <row r="200" spans="1:8" x14ac:dyDescent="0.2">
      <c r="B200" s="1" t="s">
        <v>121</v>
      </c>
      <c r="C200" s="1" t="s">
        <v>1611</v>
      </c>
    </row>
    <row r="201" spans="1:8" x14ac:dyDescent="0.2">
      <c r="B201" s="1" t="s">
        <v>2618</v>
      </c>
      <c r="C201" s="1" t="s">
        <v>2617</v>
      </c>
    </row>
    <row r="202" spans="1:8" x14ac:dyDescent="0.2">
      <c r="B202" s="1" t="s">
        <v>117</v>
      </c>
      <c r="C202" s="1" t="s">
        <v>2460</v>
      </c>
    </row>
    <row r="204" spans="1:8" x14ac:dyDescent="0.2">
      <c r="A204" s="1" t="s">
        <v>386</v>
      </c>
      <c r="C204" s="10">
        <f>9/11%</f>
        <v>81.818181818181813</v>
      </c>
      <c r="F204" s="1" t="s">
        <v>2653</v>
      </c>
    </row>
    <row r="206" spans="1:8" x14ac:dyDescent="0.2">
      <c r="A206" s="482" t="s">
        <v>3442</v>
      </c>
      <c r="B206" s="403"/>
      <c r="C206" s="403"/>
      <c r="D206" s="403"/>
      <c r="E206" s="403"/>
      <c r="F206" s="403"/>
      <c r="G206" s="403"/>
      <c r="H206" s="403"/>
    </row>
    <row r="207" spans="1:8" x14ac:dyDescent="0.2">
      <c r="A207" s="1" t="s">
        <v>3388</v>
      </c>
    </row>
    <row r="208" spans="1:8" x14ac:dyDescent="0.2">
      <c r="A208" s="1" t="s">
        <v>3389</v>
      </c>
    </row>
    <row r="209" spans="1:8" x14ac:dyDescent="0.2">
      <c r="A209" s="1" t="s">
        <v>3390</v>
      </c>
    </row>
    <row r="210" spans="1:8" x14ac:dyDescent="0.2">
      <c r="A210" s="1" t="s">
        <v>3391</v>
      </c>
    </row>
    <row r="212" spans="1:8" x14ac:dyDescent="0.2">
      <c r="A212" s="1" t="s">
        <v>198</v>
      </c>
    </row>
    <row r="214" spans="1:8" x14ac:dyDescent="0.2">
      <c r="A214" s="25" t="s">
        <v>3392</v>
      </c>
      <c r="B214" s="25"/>
      <c r="C214" s="25"/>
      <c r="D214" s="25"/>
      <c r="F214" s="25" t="s">
        <v>3393</v>
      </c>
      <c r="G214" s="25"/>
      <c r="H214" s="25"/>
    </row>
    <row r="215" spans="1:8" x14ac:dyDescent="0.2">
      <c r="B215" s="40">
        <v>0.05</v>
      </c>
      <c r="C215" s="1" t="s">
        <v>117</v>
      </c>
      <c r="D215" s="1" t="s">
        <v>55</v>
      </c>
      <c r="F215" s="1" t="s">
        <v>3394</v>
      </c>
    </row>
    <row r="216" spans="1:8" x14ac:dyDescent="0.2">
      <c r="B216" s="37">
        <v>999</v>
      </c>
      <c r="C216" s="1" t="s">
        <v>119</v>
      </c>
      <c r="D216" s="1" t="s">
        <v>3396</v>
      </c>
      <c r="F216" s="1" t="s">
        <v>3395</v>
      </c>
    </row>
    <row r="217" spans="1:8" x14ac:dyDescent="0.2">
      <c r="B217" s="66">
        <f>PV(B215,B216,B218,B219)</f>
        <v>-140</v>
      </c>
      <c r="C217" s="1" t="s">
        <v>121</v>
      </c>
      <c r="D217" s="1" t="s">
        <v>1611</v>
      </c>
    </row>
    <row r="218" spans="1:8" x14ac:dyDescent="0.2">
      <c r="B218" s="37">
        <f>7%*100</f>
        <v>7.0000000000000009</v>
      </c>
      <c r="C218" s="1" t="s">
        <v>123</v>
      </c>
      <c r="F218" s="121">
        <f>7/0.05</f>
        <v>140</v>
      </c>
    </row>
    <row r="219" spans="1:8" x14ac:dyDescent="0.2">
      <c r="B219" s="37">
        <v>0</v>
      </c>
      <c r="C219" s="1" t="s">
        <v>125</v>
      </c>
    </row>
    <row r="227" spans="1:8" x14ac:dyDescent="0.2">
      <c r="A227" s="153" t="s">
        <v>2624</v>
      </c>
      <c r="B227" s="153"/>
      <c r="C227" s="153"/>
      <c r="D227" s="153"/>
      <c r="E227" s="153"/>
      <c r="F227" s="153"/>
      <c r="G227" s="153"/>
      <c r="H227" s="153"/>
    </row>
    <row r="228" spans="1:8" ht="17" thickBot="1" x14ac:dyDescent="0.25">
      <c r="D228" s="7"/>
    </row>
    <row r="229" spans="1:8" x14ac:dyDescent="0.2">
      <c r="A229" s="57" t="s">
        <v>414</v>
      </c>
      <c r="B229" s="17"/>
      <c r="C229" s="17"/>
      <c r="D229" s="124"/>
      <c r="E229" s="17"/>
      <c r="F229" s="17"/>
      <c r="G229" s="17"/>
      <c r="H229" s="18"/>
    </row>
    <row r="230" spans="1:8" x14ac:dyDescent="0.2">
      <c r="A230" s="19" t="s">
        <v>415</v>
      </c>
      <c r="D230" s="7"/>
      <c r="H230" s="20"/>
    </row>
    <row r="231" spans="1:8" x14ac:dyDescent="0.2">
      <c r="A231" s="19" t="s">
        <v>416</v>
      </c>
      <c r="D231" s="7"/>
      <c r="H231" s="20"/>
    </row>
    <row r="232" spans="1:8" x14ac:dyDescent="0.2">
      <c r="A232" s="19" t="s">
        <v>417</v>
      </c>
      <c r="D232" s="7"/>
      <c r="H232" s="20"/>
    </row>
    <row r="233" spans="1:8" x14ac:dyDescent="0.2">
      <c r="A233" s="19" t="s">
        <v>418</v>
      </c>
      <c r="D233" s="7"/>
      <c r="H233" s="20"/>
    </row>
    <row r="234" spans="1:8" x14ac:dyDescent="0.2">
      <c r="A234" s="19" t="s">
        <v>419</v>
      </c>
      <c r="D234" s="7"/>
      <c r="H234" s="20"/>
    </row>
    <row r="235" spans="1:8" x14ac:dyDescent="0.2">
      <c r="A235" s="19"/>
      <c r="D235" s="7"/>
      <c r="H235" s="20"/>
    </row>
    <row r="236" spans="1:8" x14ac:dyDescent="0.2">
      <c r="A236" s="404" t="s">
        <v>420</v>
      </c>
      <c r="B236" s="13"/>
      <c r="C236" s="13"/>
      <c r="D236" s="13"/>
      <c r="E236" s="13"/>
      <c r="F236" s="13"/>
      <c r="G236" s="13"/>
      <c r="H236" s="405"/>
    </row>
    <row r="237" spans="1:8" x14ac:dyDescent="0.2">
      <c r="A237" s="404" t="s">
        <v>421</v>
      </c>
      <c r="B237" s="13"/>
      <c r="C237" s="13" t="s">
        <v>422</v>
      </c>
      <c r="D237" s="13"/>
      <c r="E237" s="13"/>
      <c r="F237" s="13"/>
      <c r="G237" s="13"/>
      <c r="H237" s="405"/>
    </row>
    <row r="238" spans="1:8" x14ac:dyDescent="0.2">
      <c r="A238" s="404"/>
      <c r="B238" s="13"/>
      <c r="C238" s="13" t="s">
        <v>423</v>
      </c>
      <c r="D238" s="13"/>
      <c r="E238" s="13"/>
      <c r="F238" s="13"/>
      <c r="G238" s="13"/>
      <c r="H238" s="405"/>
    </row>
    <row r="239" spans="1:8" x14ac:dyDescent="0.2">
      <c r="A239" s="404" t="s">
        <v>424</v>
      </c>
      <c r="B239" s="13"/>
      <c r="C239" s="13" t="s">
        <v>425</v>
      </c>
      <c r="D239" s="13"/>
      <c r="E239" s="13"/>
      <c r="F239" s="13"/>
      <c r="G239" s="13"/>
      <c r="H239" s="405"/>
    </row>
    <row r="240" spans="1:8" x14ac:dyDescent="0.2">
      <c r="A240" s="404"/>
      <c r="B240" s="13"/>
      <c r="C240" s="13" t="s">
        <v>426</v>
      </c>
      <c r="D240" s="13"/>
      <c r="E240" s="13"/>
      <c r="F240" s="13"/>
      <c r="G240" s="13"/>
      <c r="H240" s="405"/>
    </row>
    <row r="241" spans="1:8" x14ac:dyDescent="0.2">
      <c r="A241" s="404"/>
      <c r="B241" s="13"/>
      <c r="C241" s="13"/>
      <c r="D241" s="13"/>
      <c r="E241" s="13"/>
      <c r="F241" s="13"/>
      <c r="G241" s="13"/>
      <c r="H241" s="405"/>
    </row>
    <row r="242" spans="1:8" ht="17" thickBot="1" x14ac:dyDescent="0.25">
      <c r="A242" s="406" t="s">
        <v>427</v>
      </c>
      <c r="B242" s="407"/>
      <c r="C242" s="407"/>
      <c r="D242" s="407"/>
      <c r="E242" s="407"/>
      <c r="F242" s="407"/>
      <c r="G242" s="407"/>
      <c r="H242" s="408"/>
    </row>
    <row r="243" spans="1:8" x14ac:dyDescent="0.2">
      <c r="D243" s="7"/>
    </row>
    <row r="244" spans="1:8" x14ac:dyDescent="0.2">
      <c r="A244" s="81" t="s">
        <v>3443</v>
      </c>
      <c r="B244" s="38"/>
      <c r="C244" s="38"/>
      <c r="D244" s="38"/>
      <c r="E244" s="38"/>
      <c r="F244" s="38"/>
      <c r="G244" s="38"/>
      <c r="H244" s="38"/>
    </row>
    <row r="245" spans="1:8" x14ac:dyDescent="0.2">
      <c r="A245" s="1" t="s">
        <v>428</v>
      </c>
    </row>
    <row r="247" spans="1:8" ht="34" x14ac:dyDescent="0.2">
      <c r="B247" s="87" t="s">
        <v>429</v>
      </c>
      <c r="C247" s="87" t="s">
        <v>430</v>
      </c>
      <c r="D247" s="87" t="s">
        <v>431</v>
      </c>
    </row>
    <row r="248" spans="1:8" x14ac:dyDescent="0.2">
      <c r="A248" s="1" t="s">
        <v>432</v>
      </c>
      <c r="B248" s="1">
        <v>10</v>
      </c>
      <c r="C248" s="11">
        <v>0.05</v>
      </c>
      <c r="D248" s="1">
        <v>100</v>
      </c>
    </row>
    <row r="249" spans="1:8" x14ac:dyDescent="0.2">
      <c r="A249" s="1" t="s">
        <v>433</v>
      </c>
      <c r="B249" s="1">
        <v>20</v>
      </c>
      <c r="C249" s="11">
        <v>0.05</v>
      </c>
      <c r="D249" s="1">
        <v>100</v>
      </c>
    </row>
    <row r="251" spans="1:8" x14ac:dyDescent="0.2">
      <c r="A251" s="1" t="s">
        <v>3397</v>
      </c>
    </row>
    <row r="253" spans="1:8" x14ac:dyDescent="0.2">
      <c r="A253" s="1" t="s">
        <v>434</v>
      </c>
    </row>
    <row r="254" spans="1:8" x14ac:dyDescent="0.2">
      <c r="A254" s="1" t="s">
        <v>435</v>
      </c>
    </row>
    <row r="255" spans="1:8" x14ac:dyDescent="0.2">
      <c r="A255" s="1" t="s">
        <v>436</v>
      </c>
    </row>
    <row r="256" spans="1:8" x14ac:dyDescent="0.2">
      <c r="A256" s="1" t="s">
        <v>437</v>
      </c>
    </row>
    <row r="258" spans="1:4" x14ac:dyDescent="0.2">
      <c r="A258" s="4" t="s">
        <v>198</v>
      </c>
      <c r="C258" s="37" t="s">
        <v>3400</v>
      </c>
      <c r="D258" s="37" t="s">
        <v>3399</v>
      </c>
    </row>
    <row r="259" spans="1:4" x14ac:dyDescent="0.2">
      <c r="B259" s="39"/>
      <c r="C259" s="39" t="s">
        <v>116</v>
      </c>
      <c r="D259" s="39" t="s">
        <v>115</v>
      </c>
    </row>
    <row r="260" spans="1:4" x14ac:dyDescent="0.2">
      <c r="B260" s="37">
        <v>1</v>
      </c>
      <c r="C260" s="37">
        <f>5%*100</f>
        <v>5</v>
      </c>
      <c r="D260" s="37">
        <f>5%*100</f>
        <v>5</v>
      </c>
    </row>
    <row r="261" spans="1:4" x14ac:dyDescent="0.2">
      <c r="B261" s="37">
        <f>B260+1</f>
        <v>2</v>
      </c>
      <c r="C261" s="37">
        <f>C260</f>
        <v>5</v>
      </c>
      <c r="D261" s="37">
        <f t="shared" ref="D261:D278" si="1">5%*100</f>
        <v>5</v>
      </c>
    </row>
    <row r="262" spans="1:4" x14ac:dyDescent="0.2">
      <c r="B262" s="37">
        <f t="shared" ref="B262:B279" si="2">B261+1</f>
        <v>3</v>
      </c>
      <c r="C262" s="37">
        <f t="shared" ref="C262:C268" si="3">C261</f>
        <v>5</v>
      </c>
      <c r="D262" s="37">
        <f t="shared" si="1"/>
        <v>5</v>
      </c>
    </row>
    <row r="263" spans="1:4" x14ac:dyDescent="0.2">
      <c r="B263" s="37">
        <f t="shared" si="2"/>
        <v>4</v>
      </c>
      <c r="C263" s="37">
        <f t="shared" si="3"/>
        <v>5</v>
      </c>
      <c r="D263" s="37">
        <f t="shared" si="1"/>
        <v>5</v>
      </c>
    </row>
    <row r="264" spans="1:4" x14ac:dyDescent="0.2">
      <c r="B264" s="37">
        <f t="shared" si="2"/>
        <v>5</v>
      </c>
      <c r="C264" s="37">
        <f t="shared" si="3"/>
        <v>5</v>
      </c>
      <c r="D264" s="37">
        <f t="shared" si="1"/>
        <v>5</v>
      </c>
    </row>
    <row r="265" spans="1:4" x14ac:dyDescent="0.2">
      <c r="B265" s="37">
        <f t="shared" si="2"/>
        <v>6</v>
      </c>
      <c r="C265" s="37">
        <f t="shared" si="3"/>
        <v>5</v>
      </c>
      <c r="D265" s="37">
        <f t="shared" si="1"/>
        <v>5</v>
      </c>
    </row>
    <row r="266" spans="1:4" x14ac:dyDescent="0.2">
      <c r="B266" s="37">
        <f t="shared" si="2"/>
        <v>7</v>
      </c>
      <c r="C266" s="37">
        <f t="shared" si="3"/>
        <v>5</v>
      </c>
      <c r="D266" s="37">
        <f t="shared" si="1"/>
        <v>5</v>
      </c>
    </row>
    <row r="267" spans="1:4" x14ac:dyDescent="0.2">
      <c r="B267" s="37">
        <f t="shared" si="2"/>
        <v>8</v>
      </c>
      <c r="C267" s="37">
        <f t="shared" si="3"/>
        <v>5</v>
      </c>
      <c r="D267" s="37">
        <f t="shared" si="1"/>
        <v>5</v>
      </c>
    </row>
    <row r="268" spans="1:4" x14ac:dyDescent="0.2">
      <c r="B268" s="37">
        <f t="shared" si="2"/>
        <v>9</v>
      </c>
      <c r="C268" s="37">
        <f t="shared" si="3"/>
        <v>5</v>
      </c>
      <c r="D268" s="37">
        <f t="shared" si="1"/>
        <v>5</v>
      </c>
    </row>
    <row r="269" spans="1:4" x14ac:dyDescent="0.2">
      <c r="B269" s="37">
        <f t="shared" si="2"/>
        <v>10</v>
      </c>
      <c r="C269" s="37">
        <v>105</v>
      </c>
      <c r="D269" s="37">
        <f t="shared" si="1"/>
        <v>5</v>
      </c>
    </row>
    <row r="270" spans="1:4" x14ac:dyDescent="0.2">
      <c r="B270" s="37">
        <f t="shared" si="2"/>
        <v>11</v>
      </c>
      <c r="C270" s="37"/>
      <c r="D270" s="37">
        <f t="shared" si="1"/>
        <v>5</v>
      </c>
    </row>
    <row r="271" spans="1:4" x14ac:dyDescent="0.2">
      <c r="B271" s="37">
        <f t="shared" si="2"/>
        <v>12</v>
      </c>
      <c r="C271" s="37"/>
      <c r="D271" s="37">
        <f t="shared" si="1"/>
        <v>5</v>
      </c>
    </row>
    <row r="272" spans="1:4" x14ac:dyDescent="0.2">
      <c r="B272" s="37">
        <f t="shared" si="2"/>
        <v>13</v>
      </c>
      <c r="C272" s="37"/>
      <c r="D272" s="37">
        <f t="shared" si="1"/>
        <v>5</v>
      </c>
    </row>
    <row r="273" spans="2:9" x14ac:dyDescent="0.2">
      <c r="B273" s="37">
        <f t="shared" si="2"/>
        <v>14</v>
      </c>
      <c r="C273" s="37"/>
      <c r="D273" s="37">
        <f t="shared" si="1"/>
        <v>5</v>
      </c>
    </row>
    <row r="274" spans="2:9" x14ac:dyDescent="0.2">
      <c r="B274" s="37">
        <f t="shared" si="2"/>
        <v>15</v>
      </c>
      <c r="C274" s="37"/>
      <c r="D274" s="37">
        <f>5%*100</f>
        <v>5</v>
      </c>
    </row>
    <row r="275" spans="2:9" x14ac:dyDescent="0.2">
      <c r="B275" s="37">
        <f t="shared" si="2"/>
        <v>16</v>
      </c>
      <c r="C275" s="37"/>
      <c r="D275" s="37">
        <f t="shared" si="1"/>
        <v>5</v>
      </c>
    </row>
    <row r="276" spans="2:9" x14ac:dyDescent="0.2">
      <c r="B276" s="37">
        <f t="shared" si="2"/>
        <v>17</v>
      </c>
      <c r="C276" s="37"/>
      <c r="D276" s="37">
        <f t="shared" si="1"/>
        <v>5</v>
      </c>
    </row>
    <row r="277" spans="2:9" x14ac:dyDescent="0.2">
      <c r="B277" s="37">
        <f t="shared" si="2"/>
        <v>18</v>
      </c>
      <c r="C277" s="37"/>
      <c r="D277" s="37">
        <f t="shared" si="1"/>
        <v>5</v>
      </c>
    </row>
    <row r="278" spans="2:9" x14ac:dyDescent="0.2">
      <c r="B278" s="37">
        <f t="shared" si="2"/>
        <v>19</v>
      </c>
      <c r="C278" s="37"/>
      <c r="D278" s="37">
        <f t="shared" si="1"/>
        <v>5</v>
      </c>
    </row>
    <row r="279" spans="2:9" x14ac:dyDescent="0.2">
      <c r="B279" s="37">
        <f t="shared" si="2"/>
        <v>20</v>
      </c>
      <c r="C279" s="37"/>
      <c r="D279" s="37">
        <v>105</v>
      </c>
    </row>
    <row r="281" spans="2:9" x14ac:dyDescent="0.2">
      <c r="B281" s="25" t="s">
        <v>3398</v>
      </c>
      <c r="C281" s="39" t="s">
        <v>3400</v>
      </c>
      <c r="D281" s="39" t="s">
        <v>3399</v>
      </c>
    </row>
    <row r="282" spans="2:9" x14ac:dyDescent="0.2">
      <c r="B282" s="40">
        <v>0.05</v>
      </c>
      <c r="C282" s="503">
        <f t="shared" ref="C282:D284" si="4">NPV($B282,C$260:C$279)</f>
        <v>99.999999999999972</v>
      </c>
      <c r="D282" s="503">
        <f t="shared" si="4"/>
        <v>99.999999999999943</v>
      </c>
    </row>
    <row r="283" spans="2:9" x14ac:dyDescent="0.2">
      <c r="B283" s="40">
        <v>0.08</v>
      </c>
      <c r="C283" s="503">
        <f t="shared" si="4"/>
        <v>79.869755803175636</v>
      </c>
      <c r="D283" s="503">
        <f t="shared" si="4"/>
        <v>70.545557777652078</v>
      </c>
    </row>
    <row r="284" spans="2:9" x14ac:dyDescent="0.2">
      <c r="B284" s="40">
        <v>0.02</v>
      </c>
      <c r="C284" s="503">
        <f t="shared" si="4"/>
        <v>126.94775501872671</v>
      </c>
      <c r="D284" s="503">
        <f t="shared" si="4"/>
        <v>149.05430003379132</v>
      </c>
    </row>
    <row r="286" spans="2:9" x14ac:dyDescent="0.2">
      <c r="B286" s="1" t="s">
        <v>3401</v>
      </c>
    </row>
    <row r="287" spans="2:9" x14ac:dyDescent="0.2">
      <c r="B287" s="1" t="s">
        <v>3402</v>
      </c>
      <c r="I287" s="1" t="s">
        <v>3403</v>
      </c>
    </row>
    <row r="288" spans="2:9" x14ac:dyDescent="0.2">
      <c r="B288" s="1" t="s">
        <v>3404</v>
      </c>
      <c r="I288" s="1" t="s">
        <v>3405</v>
      </c>
    </row>
    <row r="289" spans="2:7" ht="17" thickBot="1" x14ac:dyDescent="0.25">
      <c r="B289" s="1" t="s">
        <v>3406</v>
      </c>
    </row>
    <row r="290" spans="2:7" x14ac:dyDescent="0.2">
      <c r="B290" s="16" t="s">
        <v>3409</v>
      </c>
      <c r="C290" s="18"/>
      <c r="E290" s="1" t="s">
        <v>3407</v>
      </c>
    </row>
    <row r="291" spans="2:7" x14ac:dyDescent="0.2">
      <c r="B291" s="19" t="s">
        <v>3410</v>
      </c>
      <c r="C291" s="20"/>
      <c r="E291" s="1" t="s">
        <v>3408</v>
      </c>
    </row>
    <row r="292" spans="2:7" x14ac:dyDescent="0.2">
      <c r="B292" s="19" t="s">
        <v>3411</v>
      </c>
      <c r="C292" s="20"/>
    </row>
    <row r="293" spans="2:7" x14ac:dyDescent="0.2">
      <c r="B293" s="19" t="s">
        <v>3412</v>
      </c>
      <c r="C293" s="20"/>
    </row>
    <row r="294" spans="2:7" ht="17" thickBot="1" x14ac:dyDescent="0.25">
      <c r="B294" s="21" t="s">
        <v>3413</v>
      </c>
      <c r="C294" s="23"/>
    </row>
    <row r="296" spans="2:7" x14ac:dyDescent="0.2">
      <c r="B296" s="4" t="s">
        <v>3414</v>
      </c>
    </row>
    <row r="297" spans="2:7" x14ac:dyDescent="0.2">
      <c r="B297" s="1" t="s">
        <v>3415</v>
      </c>
    </row>
    <row r="298" spans="2:7" x14ac:dyDescent="0.2">
      <c r="B298" s="1" t="s">
        <v>3416</v>
      </c>
    </row>
    <row r="299" spans="2:7" x14ac:dyDescent="0.2">
      <c r="B299" s="1" t="s">
        <v>3417</v>
      </c>
    </row>
    <row r="300" spans="2:7" x14ac:dyDescent="0.2">
      <c r="B300" s="4" t="s">
        <v>3418</v>
      </c>
      <c r="C300" s="4"/>
      <c r="D300" s="4"/>
      <c r="E300" s="4"/>
      <c r="F300" s="4"/>
      <c r="G300" s="4"/>
    </row>
    <row r="301" spans="2:7" x14ac:dyDescent="0.2">
      <c r="B301" s="4" t="s">
        <v>3419</v>
      </c>
      <c r="C301" s="4"/>
      <c r="D301" s="4"/>
      <c r="E301" s="4"/>
      <c r="F301" s="4"/>
      <c r="G301" s="4"/>
    </row>
    <row r="303" spans="2:7" x14ac:dyDescent="0.2">
      <c r="B303" s="1" t="s">
        <v>3420</v>
      </c>
    </row>
    <row r="304" spans="2:7" x14ac:dyDescent="0.2">
      <c r="B304" s="1" t="s">
        <v>3421</v>
      </c>
    </row>
    <row r="305" spans="2:6" x14ac:dyDescent="0.2">
      <c r="B305" s="1" t="s">
        <v>3422</v>
      </c>
    </row>
    <row r="306" spans="2:6" x14ac:dyDescent="0.2">
      <c r="B306" s="1" t="s">
        <v>3423</v>
      </c>
    </row>
    <row r="308" spans="2:6" x14ac:dyDescent="0.2">
      <c r="B308" s="1" t="s">
        <v>3424</v>
      </c>
      <c r="F308" s="43">
        <v>4.2999999999999997E-2</v>
      </c>
    </row>
    <row r="309" spans="2:6" x14ac:dyDescent="0.2">
      <c r="B309" s="1" t="s">
        <v>3425</v>
      </c>
      <c r="F309" s="1">
        <v>88</v>
      </c>
    </row>
    <row r="310" spans="2:6" x14ac:dyDescent="0.2">
      <c r="B310" s="1" t="s">
        <v>3426</v>
      </c>
      <c r="F310" s="2">
        <f>F309*(1-F308)</f>
        <v>84.215999999999994</v>
      </c>
    </row>
    <row r="312" spans="2:6" x14ac:dyDescent="0.2">
      <c r="B312" s="1" t="s">
        <v>3427</v>
      </c>
    </row>
    <row r="314" spans="2:6" x14ac:dyDescent="0.2">
      <c r="B314" s="1" t="s">
        <v>3424</v>
      </c>
      <c r="F314" s="43">
        <v>9.1999999999999998E-2</v>
      </c>
    </row>
    <row r="315" spans="2:6" x14ac:dyDescent="0.2">
      <c r="B315" s="1" t="s">
        <v>3425</v>
      </c>
      <c r="F315" s="1">
        <v>88</v>
      </c>
    </row>
    <row r="316" spans="2:6" x14ac:dyDescent="0.2">
      <c r="B316" s="1" t="s">
        <v>3428</v>
      </c>
      <c r="F316" s="2">
        <f>F315*(1-F314)</f>
        <v>79.903999999999996</v>
      </c>
    </row>
    <row r="318" spans="2:6" x14ac:dyDescent="0.2">
      <c r="B318" s="1" t="s">
        <v>3429</v>
      </c>
    </row>
    <row r="319" spans="2:6" x14ac:dyDescent="0.2">
      <c r="B319" s="1" t="s">
        <v>3433</v>
      </c>
    </row>
    <row r="320" spans="2:6" x14ac:dyDescent="0.2">
      <c r="B320" s="1" t="s">
        <v>3430</v>
      </c>
    </row>
    <row r="322" spans="2:8" x14ac:dyDescent="0.2">
      <c r="B322" s="1" t="s">
        <v>3431</v>
      </c>
      <c r="G322" s="43">
        <v>4.3999999999999997E-2</v>
      </c>
      <c r="H322" s="1" t="s">
        <v>3432</v>
      </c>
    </row>
    <row r="323" spans="2:8" x14ac:dyDescent="0.2">
      <c r="B323" s="1" t="s">
        <v>3434</v>
      </c>
      <c r="G323" s="1">
        <v>94</v>
      </c>
    </row>
    <row r="324" spans="2:8" x14ac:dyDescent="0.2">
      <c r="B324" s="1" t="s">
        <v>3435</v>
      </c>
      <c r="G324" s="1">
        <f>G323*(1+G322)</f>
        <v>98.13600000000001</v>
      </c>
      <c r="H324" s="1" t="s">
        <v>3436</v>
      </c>
    </row>
    <row r="338" spans="1:8" ht="17" thickBot="1" x14ac:dyDescent="0.25"/>
    <row r="339" spans="1:8" x14ac:dyDescent="0.2">
      <c r="A339" s="57" t="s">
        <v>3444</v>
      </c>
      <c r="B339" s="17"/>
      <c r="C339" s="17"/>
      <c r="D339" s="17"/>
      <c r="E339" s="17"/>
      <c r="F339" s="17"/>
      <c r="G339" s="17"/>
      <c r="H339" s="504" t="s">
        <v>225</v>
      </c>
    </row>
    <row r="340" spans="1:8" x14ac:dyDescent="0.2">
      <c r="A340" s="19" t="s">
        <v>2659</v>
      </c>
      <c r="H340" s="20"/>
    </row>
    <row r="341" spans="1:8" x14ac:dyDescent="0.2">
      <c r="A341" s="19" t="s">
        <v>2654</v>
      </c>
      <c r="H341" s="20"/>
    </row>
    <row r="342" spans="1:8" x14ac:dyDescent="0.2">
      <c r="A342" s="19" t="s">
        <v>2655</v>
      </c>
      <c r="H342" s="20"/>
    </row>
    <row r="343" spans="1:8" x14ac:dyDescent="0.2">
      <c r="A343" s="19" t="s">
        <v>2656</v>
      </c>
      <c r="H343" s="20"/>
    </row>
    <row r="344" spans="1:8" x14ac:dyDescent="0.2">
      <c r="A344" s="19" t="s">
        <v>2657</v>
      </c>
      <c r="H344" s="20"/>
    </row>
    <row r="345" spans="1:8" ht="17" thickBot="1" x14ac:dyDescent="0.25">
      <c r="A345" s="21" t="s">
        <v>2658</v>
      </c>
      <c r="B345" s="22"/>
      <c r="C345" s="22"/>
      <c r="D345" s="22"/>
      <c r="E345" s="22"/>
      <c r="F345" s="22"/>
      <c r="G345" s="22"/>
      <c r="H345" s="23"/>
    </row>
    <row r="347" spans="1:8" x14ac:dyDescent="0.2">
      <c r="A347" s="1" t="s">
        <v>2660</v>
      </c>
    </row>
    <row r="348" spans="1:8" x14ac:dyDescent="0.2">
      <c r="A348" s="1" t="s">
        <v>2661</v>
      </c>
    </row>
    <row r="349" spans="1:8" x14ac:dyDescent="0.2">
      <c r="A349" s="1" t="s">
        <v>2662</v>
      </c>
    </row>
    <row r="350" spans="1:8" x14ac:dyDescent="0.2">
      <c r="A350" s="1" t="s">
        <v>2663</v>
      </c>
    </row>
    <row r="351" spans="1:8" x14ac:dyDescent="0.2">
      <c r="A351" s="1" t="s">
        <v>2664</v>
      </c>
    </row>
    <row r="352" spans="1:8" x14ac:dyDescent="0.2">
      <c r="A352" s="1" t="s">
        <v>2665</v>
      </c>
    </row>
    <row r="353" spans="1:8" x14ac:dyDescent="0.2">
      <c r="A353" s="1" t="s">
        <v>2666</v>
      </c>
    </row>
    <row r="355" spans="1:8" x14ac:dyDescent="0.2">
      <c r="A355" s="4" t="s">
        <v>3445</v>
      </c>
      <c r="H355" s="3" t="s">
        <v>225</v>
      </c>
    </row>
    <row r="356" spans="1:8" x14ac:dyDescent="0.2">
      <c r="A356" s="1" t="s">
        <v>2667</v>
      </c>
    </row>
    <row r="357" spans="1:8" x14ac:dyDescent="0.2">
      <c r="A357" s="1" t="s">
        <v>2668</v>
      </c>
    </row>
    <row r="358" spans="1:8" x14ac:dyDescent="0.2">
      <c r="A358" s="1" t="s">
        <v>2669</v>
      </c>
    </row>
    <row r="360" spans="1:8" x14ac:dyDescent="0.2">
      <c r="A360" s="1" t="s">
        <v>2670</v>
      </c>
    </row>
    <row r="361" spans="1:8" x14ac:dyDescent="0.2">
      <c r="A361" s="1" t="s">
        <v>2671</v>
      </c>
    </row>
    <row r="362" spans="1:8" x14ac:dyDescent="0.2">
      <c r="A362" s="1" t="s">
        <v>2672</v>
      </c>
    </row>
    <row r="363" spans="1:8" x14ac:dyDescent="0.2">
      <c r="A363" s="1" t="s">
        <v>2673</v>
      </c>
    </row>
    <row r="364" spans="1:8" x14ac:dyDescent="0.2">
      <c r="A364" s="1" t="s">
        <v>2674</v>
      </c>
    </row>
    <row r="366" spans="1:8" x14ac:dyDescent="0.2">
      <c r="A366" s="1" t="s">
        <v>2675</v>
      </c>
    </row>
    <row r="367" spans="1:8" x14ac:dyDescent="0.2">
      <c r="A367" s="1" t="s">
        <v>2676</v>
      </c>
    </row>
    <row r="368" spans="1:8" x14ac:dyDescent="0.2">
      <c r="A368" s="1" t="s">
        <v>2677</v>
      </c>
    </row>
    <row r="369" spans="1:8" x14ac:dyDescent="0.2">
      <c r="A369" s="1" t="s">
        <v>2678</v>
      </c>
    </row>
    <row r="372" spans="1:8" ht="21" x14ac:dyDescent="0.25">
      <c r="A372" s="581" t="s">
        <v>3437</v>
      </c>
      <c r="B372" s="581"/>
      <c r="C372" s="581"/>
      <c r="D372" s="581"/>
      <c r="E372" s="581"/>
      <c r="F372" s="581"/>
      <c r="G372" s="581"/>
      <c r="H372" s="581"/>
    </row>
    <row r="373" spans="1:8" x14ac:dyDescent="0.2">
      <c r="A373" s="1" t="s">
        <v>2629</v>
      </c>
    </row>
    <row r="375" spans="1:8" x14ac:dyDescent="0.2">
      <c r="A375" s="81" t="s">
        <v>3446</v>
      </c>
      <c r="B375" s="38"/>
      <c r="C375" s="38"/>
      <c r="D375" s="38"/>
      <c r="E375" s="38"/>
      <c r="F375" s="38"/>
      <c r="G375" s="38"/>
      <c r="H375" s="38"/>
    </row>
    <row r="376" spans="1:8" x14ac:dyDescent="0.2">
      <c r="A376" s="1" t="s">
        <v>399</v>
      </c>
    </row>
    <row r="377" spans="1:8" x14ac:dyDescent="0.2">
      <c r="A377" s="1" t="s">
        <v>400</v>
      </c>
    </row>
    <row r="378" spans="1:8" x14ac:dyDescent="0.2">
      <c r="C378" s="1" t="s">
        <v>2627</v>
      </c>
    </row>
    <row r="380" spans="1:8" x14ac:dyDescent="0.2">
      <c r="A380" s="81" t="s">
        <v>3447</v>
      </c>
      <c r="B380" s="38"/>
      <c r="C380" s="38"/>
      <c r="D380" s="38"/>
      <c r="E380" s="38"/>
      <c r="F380" s="38"/>
      <c r="G380" s="38"/>
      <c r="H380" s="38"/>
    </row>
    <row r="381" spans="1:8" x14ac:dyDescent="0.2">
      <c r="A381" s="1" t="s">
        <v>462</v>
      </c>
    </row>
    <row r="382" spans="1:8" x14ac:dyDescent="0.2">
      <c r="A382" s="1" t="s">
        <v>463</v>
      </c>
    </row>
    <row r="383" spans="1:8" x14ac:dyDescent="0.2">
      <c r="A383" s="1" t="s">
        <v>464</v>
      </c>
    </row>
    <row r="384" spans="1:8" x14ac:dyDescent="0.2">
      <c r="A384" s="1" t="s">
        <v>465</v>
      </c>
      <c r="F384" s="1" t="s">
        <v>466</v>
      </c>
    </row>
    <row r="386" spans="1:8" x14ac:dyDescent="0.2">
      <c r="A386" s="81" t="s">
        <v>3448</v>
      </c>
      <c r="B386" s="38"/>
      <c r="C386" s="38"/>
      <c r="D386" s="38"/>
      <c r="E386" s="38"/>
      <c r="F386" s="38"/>
      <c r="G386" s="38"/>
      <c r="H386" s="38"/>
    </row>
    <row r="387" spans="1:8" x14ac:dyDescent="0.2">
      <c r="A387" s="1" t="s">
        <v>480</v>
      </c>
    </row>
    <row r="388" spans="1:8" x14ac:dyDescent="0.2">
      <c r="A388" s="1" t="s">
        <v>481</v>
      </c>
    </row>
    <row r="389" spans="1:8" x14ac:dyDescent="0.2">
      <c r="A389" s="1" t="s">
        <v>482</v>
      </c>
    </row>
    <row r="390" spans="1:8" x14ac:dyDescent="0.2">
      <c r="G390" s="1" t="s">
        <v>483</v>
      </c>
    </row>
    <row r="392" spans="1:8" x14ac:dyDescent="0.2">
      <c r="A392" s="81" t="s">
        <v>3449</v>
      </c>
      <c r="B392" s="38"/>
      <c r="C392" s="38"/>
      <c r="D392" s="38"/>
      <c r="E392" s="38"/>
      <c r="F392" s="38"/>
      <c r="G392" s="38"/>
      <c r="H392" s="38"/>
    </row>
    <row r="393" spans="1:8" x14ac:dyDescent="0.2">
      <c r="A393" s="1" t="s">
        <v>496</v>
      </c>
    </row>
    <row r="394" spans="1:8" x14ac:dyDescent="0.2">
      <c r="A394" s="1" t="s">
        <v>497</v>
      </c>
    </row>
    <row r="395" spans="1:8" x14ac:dyDescent="0.2">
      <c r="A395" s="1" t="s">
        <v>498</v>
      </c>
    </row>
    <row r="396" spans="1:8" x14ac:dyDescent="0.2">
      <c r="A396" s="1" t="s">
        <v>499</v>
      </c>
    </row>
    <row r="397" spans="1:8" x14ac:dyDescent="0.2">
      <c r="F397" s="1" t="s">
        <v>500</v>
      </c>
    </row>
    <row r="399" spans="1:8" x14ac:dyDescent="0.2">
      <c r="A399" s="81" t="s">
        <v>3450</v>
      </c>
      <c r="B399" s="38"/>
      <c r="C399" s="38"/>
      <c r="D399" s="38"/>
      <c r="E399" s="38"/>
      <c r="F399" s="38"/>
      <c r="G399" s="38"/>
      <c r="H399" s="38"/>
    </row>
    <row r="400" spans="1:8" x14ac:dyDescent="0.2">
      <c r="D400" s="8"/>
    </row>
    <row r="401" spans="1:8" x14ac:dyDescent="0.2">
      <c r="A401" s="1" t="s">
        <v>2609</v>
      </c>
    </row>
    <row r="402" spans="1:8" x14ac:dyDescent="0.2">
      <c r="A402" s="1" t="s">
        <v>2610</v>
      </c>
    </row>
    <row r="403" spans="1:8" x14ac:dyDescent="0.2">
      <c r="A403" s="1" t="s">
        <v>2611</v>
      </c>
    </row>
    <row r="405" spans="1:8" ht="21" x14ac:dyDescent="0.25">
      <c r="A405" s="581" t="s">
        <v>2628</v>
      </c>
      <c r="B405" s="581"/>
      <c r="C405" s="581"/>
      <c r="D405" s="581"/>
      <c r="E405" s="581"/>
      <c r="F405" s="581"/>
      <c r="G405" s="581"/>
      <c r="H405" s="581"/>
    </row>
    <row r="407" spans="1:8" x14ac:dyDescent="0.2">
      <c r="A407" s="81" t="s">
        <v>3446</v>
      </c>
      <c r="B407" s="38"/>
      <c r="C407" s="38"/>
      <c r="D407" s="38"/>
      <c r="E407" s="38"/>
      <c r="F407" s="38"/>
      <c r="G407" s="38"/>
      <c r="H407" s="38"/>
    </row>
    <row r="408" spans="1:8" x14ac:dyDescent="0.2">
      <c r="A408" s="1" t="s">
        <v>399</v>
      </c>
    </row>
    <row r="409" spans="1:8" x14ac:dyDescent="0.2">
      <c r="A409" s="1" t="s">
        <v>400</v>
      </c>
    </row>
    <row r="411" spans="1:8" x14ac:dyDescent="0.2">
      <c r="A411" s="1" t="s">
        <v>382</v>
      </c>
    </row>
    <row r="412" spans="1:8" ht="17" thickBot="1" x14ac:dyDescent="0.25"/>
    <row r="413" spans="1:8" x14ac:dyDescent="0.2">
      <c r="A413" s="16" t="s">
        <v>378</v>
      </c>
      <c r="B413" s="17"/>
      <c r="C413" s="17"/>
      <c r="D413" s="17"/>
      <c r="E413" s="17"/>
      <c r="F413" s="17"/>
      <c r="G413" s="17"/>
      <c r="H413" s="18"/>
    </row>
    <row r="414" spans="1:8" x14ac:dyDescent="0.2">
      <c r="A414" s="19" t="s">
        <v>401</v>
      </c>
      <c r="H414" s="20"/>
    </row>
    <row r="415" spans="1:8" ht="17" thickBot="1" x14ac:dyDescent="0.25">
      <c r="A415" s="21" t="s">
        <v>402</v>
      </c>
      <c r="B415" s="22"/>
      <c r="C415" s="22"/>
      <c r="D415" s="22"/>
      <c r="E415" s="22"/>
      <c r="F415" s="22"/>
      <c r="G415" s="22"/>
      <c r="H415" s="23"/>
    </row>
    <row r="417" spans="1:8" x14ac:dyDescent="0.2">
      <c r="A417" s="1" t="s">
        <v>403</v>
      </c>
    </row>
    <row r="418" spans="1:8" x14ac:dyDescent="0.2">
      <c r="A418" s="1" t="s">
        <v>404</v>
      </c>
      <c r="H418" s="1" t="s">
        <v>2619</v>
      </c>
    </row>
    <row r="420" spans="1:8" x14ac:dyDescent="0.2">
      <c r="A420" s="1" t="s">
        <v>2620</v>
      </c>
    </row>
    <row r="421" spans="1:8" x14ac:dyDescent="0.2">
      <c r="D421" s="7"/>
    </row>
    <row r="422" spans="1:8" x14ac:dyDescent="0.2">
      <c r="D422" s="9">
        <v>7.0000000000000007E-2</v>
      </c>
      <c r="E422" s="1" t="s">
        <v>117</v>
      </c>
    </row>
    <row r="423" spans="1:8" x14ac:dyDescent="0.2">
      <c r="D423" s="8">
        <v>9999</v>
      </c>
      <c r="E423" s="1" t="s">
        <v>119</v>
      </c>
      <c r="F423" s="1" t="s">
        <v>405</v>
      </c>
    </row>
    <row r="424" spans="1:8" x14ac:dyDescent="0.2">
      <c r="D424" s="10">
        <f>PV(D422,D423,D425,D426)</f>
        <v>-114.28571428571428</v>
      </c>
      <c r="E424" s="1" t="s">
        <v>121</v>
      </c>
    </row>
    <row r="425" spans="1:8" x14ac:dyDescent="0.2">
      <c r="A425" s="1" t="s">
        <v>406</v>
      </c>
      <c r="D425" s="8">
        <v>8</v>
      </c>
      <c r="E425" s="1" t="s">
        <v>123</v>
      </c>
    </row>
    <row r="426" spans="1:8" x14ac:dyDescent="0.2">
      <c r="D426" s="8">
        <v>0</v>
      </c>
      <c r="E426" s="1" t="s">
        <v>125</v>
      </c>
      <c r="F426" s="1" t="s">
        <v>407</v>
      </c>
    </row>
    <row r="427" spans="1:8" x14ac:dyDescent="0.2">
      <c r="D427" s="7"/>
    </row>
    <row r="428" spans="1:8" x14ac:dyDescent="0.2">
      <c r="A428" s="1" t="s">
        <v>408</v>
      </c>
      <c r="D428" s="7"/>
    </row>
    <row r="429" spans="1:8" x14ac:dyDescent="0.2">
      <c r="A429" s="1" t="s">
        <v>409</v>
      </c>
      <c r="D429" s="7"/>
    </row>
    <row r="430" spans="1:8" x14ac:dyDescent="0.2">
      <c r="D430" s="7"/>
    </row>
    <row r="431" spans="1:8" x14ac:dyDescent="0.2">
      <c r="D431" s="7"/>
    </row>
    <row r="432" spans="1:8" x14ac:dyDescent="0.2">
      <c r="D432" s="7"/>
    </row>
    <row r="433" spans="1:8" x14ac:dyDescent="0.2">
      <c r="A433" s="1" t="s">
        <v>410</v>
      </c>
      <c r="D433" s="7"/>
    </row>
    <row r="434" spans="1:8" x14ac:dyDescent="0.2">
      <c r="D434" s="7"/>
    </row>
    <row r="435" spans="1:8" x14ac:dyDescent="0.2">
      <c r="D435" s="7"/>
    </row>
    <row r="436" spans="1:8" x14ac:dyDescent="0.2">
      <c r="D436" s="7"/>
    </row>
    <row r="437" spans="1:8" x14ac:dyDescent="0.2">
      <c r="A437" s="1" t="s">
        <v>79</v>
      </c>
      <c r="D437" s="7"/>
    </row>
    <row r="438" spans="1:8" x14ac:dyDescent="0.2">
      <c r="B438" s="37" t="s">
        <v>411</v>
      </c>
      <c r="C438" s="1" t="s">
        <v>145</v>
      </c>
      <c r="D438" s="7"/>
    </row>
    <row r="439" spans="1:8" x14ac:dyDescent="0.2">
      <c r="B439" s="37" t="s">
        <v>2621</v>
      </c>
      <c r="C439" s="1" t="s">
        <v>304</v>
      </c>
      <c r="D439" s="7"/>
    </row>
    <row r="440" spans="1:8" x14ac:dyDescent="0.2">
      <c r="B440" s="37" t="s">
        <v>2618</v>
      </c>
      <c r="C440" s="1" t="s">
        <v>413</v>
      </c>
      <c r="D440" s="7"/>
    </row>
    <row r="442" spans="1:8" x14ac:dyDescent="0.2">
      <c r="A442" s="81" t="s">
        <v>3447</v>
      </c>
      <c r="B442" s="38"/>
      <c r="C442" s="38"/>
      <c r="D442" s="38"/>
      <c r="E442" s="38"/>
      <c r="F442" s="38"/>
      <c r="G442" s="38"/>
      <c r="H442" s="38"/>
    </row>
    <row r="443" spans="1:8" x14ac:dyDescent="0.2">
      <c r="A443" s="1" t="s">
        <v>462</v>
      </c>
    </row>
    <row r="444" spans="1:8" x14ac:dyDescent="0.2">
      <c r="A444" s="1" t="s">
        <v>463</v>
      </c>
    </row>
    <row r="445" spans="1:8" x14ac:dyDescent="0.2">
      <c r="A445" s="1" t="s">
        <v>464</v>
      </c>
    </row>
    <row r="446" spans="1:8" x14ac:dyDescent="0.2">
      <c r="A446" s="1" t="s">
        <v>465</v>
      </c>
      <c r="F446" s="1" t="s">
        <v>466</v>
      </c>
    </row>
    <row r="447" spans="1:8" ht="17" thickBot="1" x14ac:dyDescent="0.25"/>
    <row r="448" spans="1:8" x14ac:dyDescent="0.2">
      <c r="A448" s="16" t="s">
        <v>198</v>
      </c>
      <c r="B448" s="17"/>
      <c r="C448" s="17"/>
      <c r="D448" s="17"/>
      <c r="E448" s="17"/>
      <c r="F448" s="17"/>
      <c r="G448" s="17"/>
      <c r="H448" s="18"/>
    </row>
    <row r="449" spans="1:8" x14ac:dyDescent="0.2">
      <c r="A449" s="31"/>
      <c r="H449" s="20"/>
    </row>
    <row r="450" spans="1:8" x14ac:dyDescent="0.2">
      <c r="A450" s="31" t="s">
        <v>467</v>
      </c>
      <c r="B450" s="7"/>
      <c r="C450" s="7"/>
      <c r="D450" s="7"/>
      <c r="E450" s="7"/>
      <c r="F450" s="7"/>
      <c r="G450" s="7"/>
      <c r="H450" s="136"/>
    </row>
    <row r="451" spans="1:8" x14ac:dyDescent="0.2">
      <c r="A451" s="31" t="s">
        <v>468</v>
      </c>
      <c r="B451" s="7"/>
      <c r="C451" s="7"/>
      <c r="D451" s="7"/>
      <c r="E451" s="7"/>
      <c r="F451" s="7"/>
      <c r="G451" s="7"/>
      <c r="H451" s="136"/>
    </row>
    <row r="452" spans="1:8" x14ac:dyDescent="0.2">
      <c r="A452" s="31" t="s">
        <v>469</v>
      </c>
      <c r="B452" s="7"/>
      <c r="C452" s="7"/>
      <c r="D452" s="7"/>
      <c r="E452" s="7"/>
      <c r="F452" s="7"/>
      <c r="G452" s="7"/>
      <c r="H452" s="136"/>
    </row>
    <row r="453" spans="1:8" x14ac:dyDescent="0.2">
      <c r="A453" s="31"/>
      <c r="B453" s="7"/>
      <c r="C453" s="7"/>
      <c r="D453" s="7"/>
      <c r="E453" s="7"/>
      <c r="F453" s="7"/>
      <c r="G453" s="7"/>
      <c r="H453" s="136"/>
    </row>
    <row r="454" spans="1:8" s="8" customFormat="1" x14ac:dyDescent="0.2">
      <c r="A454" s="31"/>
      <c r="B454" s="8" t="s">
        <v>203</v>
      </c>
      <c r="C454" s="8" t="s">
        <v>459</v>
      </c>
      <c r="D454" s="8" t="s">
        <v>460</v>
      </c>
      <c r="F454" s="8" t="s">
        <v>461</v>
      </c>
      <c r="H454" s="32"/>
    </row>
    <row r="455" spans="1:8" x14ac:dyDescent="0.2">
      <c r="A455" s="139">
        <v>44562</v>
      </c>
      <c r="B455" s="7"/>
      <c r="C455" s="7"/>
      <c r="D455" s="8">
        <v>-102</v>
      </c>
      <c r="E455" s="7"/>
      <c r="F455" s="8">
        <v>100</v>
      </c>
      <c r="G455" s="7"/>
      <c r="H455" s="136"/>
    </row>
    <row r="456" spans="1:8" x14ac:dyDescent="0.2">
      <c r="A456" s="139">
        <v>44651</v>
      </c>
      <c r="B456" s="8">
        <f t="shared" ref="B456:B465" si="5">5%*F455</f>
        <v>5</v>
      </c>
      <c r="C456" s="7"/>
      <c r="D456" s="8">
        <f t="shared" ref="D456:D465" si="6">B456+C456</f>
        <v>5</v>
      </c>
      <c r="E456" s="7"/>
      <c r="F456" s="8">
        <f t="shared" ref="F456:F465" si="7">F455-C456</f>
        <v>100</v>
      </c>
      <c r="G456" s="7"/>
      <c r="H456" s="136"/>
    </row>
    <row r="457" spans="1:8" x14ac:dyDescent="0.2">
      <c r="A457" s="139">
        <v>44834</v>
      </c>
      <c r="B457" s="8">
        <f t="shared" si="5"/>
        <v>5</v>
      </c>
      <c r="C457" s="7"/>
      <c r="D457" s="8">
        <f t="shared" si="6"/>
        <v>5</v>
      </c>
      <c r="E457" s="7"/>
      <c r="F457" s="8">
        <f t="shared" si="7"/>
        <v>100</v>
      </c>
      <c r="G457" s="7"/>
      <c r="H457" s="136"/>
    </row>
    <row r="458" spans="1:8" x14ac:dyDescent="0.2">
      <c r="A458" s="139">
        <v>45016</v>
      </c>
      <c r="B458" s="8">
        <f t="shared" si="5"/>
        <v>5</v>
      </c>
      <c r="C458" s="7"/>
      <c r="D458" s="8">
        <f t="shared" si="6"/>
        <v>5</v>
      </c>
      <c r="E458" s="7"/>
      <c r="F458" s="8">
        <f t="shared" si="7"/>
        <v>100</v>
      </c>
      <c r="G458" s="7"/>
      <c r="H458" s="136"/>
    </row>
    <row r="459" spans="1:8" x14ac:dyDescent="0.2">
      <c r="A459" s="140">
        <v>45199</v>
      </c>
      <c r="B459" s="8">
        <f t="shared" si="5"/>
        <v>5</v>
      </c>
      <c r="C459" s="8">
        <v>25</v>
      </c>
      <c r="D459" s="8">
        <f t="shared" si="6"/>
        <v>30</v>
      </c>
      <c r="E459" s="7"/>
      <c r="F459" s="8">
        <f t="shared" si="7"/>
        <v>75</v>
      </c>
      <c r="G459" s="7"/>
      <c r="H459" s="136"/>
    </row>
    <row r="460" spans="1:8" x14ac:dyDescent="0.2">
      <c r="A460" s="139">
        <v>45382</v>
      </c>
      <c r="B460" s="8">
        <f t="shared" si="5"/>
        <v>3.75</v>
      </c>
      <c r="C460" s="7"/>
      <c r="D460" s="8">
        <f t="shared" si="6"/>
        <v>3.75</v>
      </c>
      <c r="E460" s="7"/>
      <c r="F460" s="8">
        <f t="shared" si="7"/>
        <v>75</v>
      </c>
      <c r="G460" s="7"/>
      <c r="H460" s="136"/>
    </row>
    <row r="461" spans="1:8" x14ac:dyDescent="0.2">
      <c r="A461" s="140">
        <v>45565</v>
      </c>
      <c r="B461" s="8">
        <f t="shared" si="5"/>
        <v>3.75</v>
      </c>
      <c r="C461" s="8">
        <v>25</v>
      </c>
      <c r="D461" s="8">
        <f t="shared" si="6"/>
        <v>28.75</v>
      </c>
      <c r="E461" s="7"/>
      <c r="F461" s="8">
        <f t="shared" si="7"/>
        <v>50</v>
      </c>
      <c r="G461" s="7"/>
      <c r="H461" s="136"/>
    </row>
    <row r="462" spans="1:8" x14ac:dyDescent="0.2">
      <c r="A462" s="139">
        <v>45747</v>
      </c>
      <c r="B462" s="8">
        <f t="shared" si="5"/>
        <v>2.5</v>
      </c>
      <c r="C462" s="7"/>
      <c r="D462" s="8">
        <f t="shared" si="6"/>
        <v>2.5</v>
      </c>
      <c r="E462" s="7"/>
      <c r="F462" s="8">
        <f t="shared" si="7"/>
        <v>50</v>
      </c>
      <c r="G462" s="7"/>
      <c r="H462" s="136"/>
    </row>
    <row r="463" spans="1:8" x14ac:dyDescent="0.2">
      <c r="A463" s="140">
        <v>45930</v>
      </c>
      <c r="B463" s="8">
        <f t="shared" si="5"/>
        <v>2.5</v>
      </c>
      <c r="C463" s="8">
        <v>25</v>
      </c>
      <c r="D463" s="8">
        <f t="shared" si="6"/>
        <v>27.5</v>
      </c>
      <c r="E463" s="7"/>
      <c r="F463" s="8">
        <f t="shared" si="7"/>
        <v>25</v>
      </c>
      <c r="G463" s="7"/>
      <c r="H463" s="136"/>
    </row>
    <row r="464" spans="1:8" x14ac:dyDescent="0.2">
      <c r="A464" s="139">
        <v>46112</v>
      </c>
      <c r="B464" s="8">
        <f t="shared" si="5"/>
        <v>1.25</v>
      </c>
      <c r="C464" s="7"/>
      <c r="D464" s="8">
        <f t="shared" si="6"/>
        <v>1.25</v>
      </c>
      <c r="E464" s="7"/>
      <c r="F464" s="8">
        <f t="shared" si="7"/>
        <v>25</v>
      </c>
      <c r="G464" s="7"/>
      <c r="H464" s="136"/>
    </row>
    <row r="465" spans="1:8" x14ac:dyDescent="0.2">
      <c r="A465" s="140">
        <v>46295</v>
      </c>
      <c r="B465" s="8">
        <f t="shared" si="5"/>
        <v>1.25</v>
      </c>
      <c r="C465" s="8">
        <v>25</v>
      </c>
      <c r="D465" s="8">
        <f t="shared" si="6"/>
        <v>26.25</v>
      </c>
      <c r="E465" s="7"/>
      <c r="F465" s="8">
        <f t="shared" si="7"/>
        <v>0</v>
      </c>
      <c r="G465" s="7"/>
      <c r="H465" s="136"/>
    </row>
    <row r="466" spans="1:8" s="8" customFormat="1" x14ac:dyDescent="0.2">
      <c r="A466" s="139"/>
      <c r="H466" s="32"/>
    </row>
    <row r="467" spans="1:8" s="8" customFormat="1" x14ac:dyDescent="0.2">
      <c r="A467" s="139" t="s">
        <v>470</v>
      </c>
      <c r="H467" s="32"/>
    </row>
    <row r="468" spans="1:8" s="8" customFormat="1" x14ac:dyDescent="0.2">
      <c r="A468" s="139" t="s">
        <v>471</v>
      </c>
      <c r="H468" s="32"/>
    </row>
    <row r="469" spans="1:8" s="8" customFormat="1" x14ac:dyDescent="0.2">
      <c r="A469" s="31" t="s">
        <v>472</v>
      </c>
      <c r="H469" s="32"/>
    </row>
    <row r="470" spans="1:8" x14ac:dyDescent="0.2">
      <c r="A470" s="135"/>
      <c r="B470" s="7"/>
      <c r="C470" s="7"/>
      <c r="D470" s="7"/>
      <c r="E470" s="7"/>
      <c r="F470" s="7"/>
      <c r="G470" s="7"/>
      <c r="H470" s="136"/>
    </row>
    <row r="471" spans="1:8" s="8" customFormat="1" x14ac:dyDescent="0.2">
      <c r="A471" s="31"/>
      <c r="B471" s="8" t="s">
        <v>203</v>
      </c>
      <c r="C471" s="8" t="s">
        <v>459</v>
      </c>
      <c r="D471" s="8" t="s">
        <v>460</v>
      </c>
      <c r="F471" s="8" t="s">
        <v>461</v>
      </c>
      <c r="H471" s="32"/>
    </row>
    <row r="472" spans="1:8" s="8" customFormat="1" x14ac:dyDescent="0.2">
      <c r="A472" s="139">
        <v>44562</v>
      </c>
      <c r="D472" s="8">
        <v>-102</v>
      </c>
      <c r="F472" s="8">
        <v>100</v>
      </c>
      <c r="H472" s="32"/>
    </row>
    <row r="473" spans="1:8" s="8" customFormat="1" x14ac:dyDescent="0.2">
      <c r="A473" s="139">
        <v>44651</v>
      </c>
      <c r="B473" s="8">
        <f>5%*100</f>
        <v>5</v>
      </c>
      <c r="D473" s="8">
        <f>B473+C473</f>
        <v>5</v>
      </c>
      <c r="F473" s="8">
        <f>F472-C473</f>
        <v>100</v>
      </c>
      <c r="H473" s="32"/>
    </row>
    <row r="474" spans="1:8" s="8" customFormat="1" x14ac:dyDescent="0.2">
      <c r="A474" s="141">
        <v>44742</v>
      </c>
      <c r="D474" s="64">
        <v>0</v>
      </c>
      <c r="H474" s="32"/>
    </row>
    <row r="475" spans="1:8" s="8" customFormat="1" x14ac:dyDescent="0.2">
      <c r="A475" s="139">
        <v>44834</v>
      </c>
      <c r="B475" s="8">
        <f>5%*100</f>
        <v>5</v>
      </c>
      <c r="D475" s="8">
        <f>B475+C475</f>
        <v>5</v>
      </c>
      <c r="F475" s="8">
        <f>F473-C475</f>
        <v>100</v>
      </c>
      <c r="H475" s="32"/>
    </row>
    <row r="476" spans="1:8" s="8" customFormat="1" x14ac:dyDescent="0.2">
      <c r="A476" s="141">
        <v>44926</v>
      </c>
      <c r="D476" s="64">
        <v>0</v>
      </c>
      <c r="H476" s="32"/>
    </row>
    <row r="477" spans="1:8" s="8" customFormat="1" x14ac:dyDescent="0.2">
      <c r="A477" s="139">
        <v>45016</v>
      </c>
      <c r="B477" s="8">
        <f>5%*100</f>
        <v>5</v>
      </c>
      <c r="D477" s="8">
        <f>B477+C477</f>
        <v>5</v>
      </c>
      <c r="F477" s="8">
        <f>F475-C477</f>
        <v>100</v>
      </c>
      <c r="H477" s="32"/>
    </row>
    <row r="478" spans="1:8" s="8" customFormat="1" x14ac:dyDescent="0.2">
      <c r="A478" s="141">
        <v>45107</v>
      </c>
      <c r="D478" s="64">
        <v>0</v>
      </c>
      <c r="H478" s="32"/>
    </row>
    <row r="479" spans="1:8" s="8" customFormat="1" x14ac:dyDescent="0.2">
      <c r="A479" s="139">
        <v>45199</v>
      </c>
      <c r="B479" s="8">
        <f>5%*100</f>
        <v>5</v>
      </c>
      <c r="C479" s="8">
        <v>25</v>
      </c>
      <c r="D479" s="8">
        <f>B479+C479</f>
        <v>30</v>
      </c>
      <c r="F479" s="8">
        <f>F477-C479</f>
        <v>75</v>
      </c>
      <c r="H479" s="32"/>
    </row>
    <row r="480" spans="1:8" s="8" customFormat="1" x14ac:dyDescent="0.2">
      <c r="A480" s="141">
        <v>45291</v>
      </c>
      <c r="D480" s="64">
        <v>0</v>
      </c>
      <c r="H480" s="32"/>
    </row>
    <row r="481" spans="1:8" s="8" customFormat="1" x14ac:dyDescent="0.2">
      <c r="A481" s="139">
        <v>45382</v>
      </c>
      <c r="B481" s="8">
        <f>5%*F479</f>
        <v>3.75</v>
      </c>
      <c r="D481" s="8">
        <f>B481+C481</f>
        <v>3.75</v>
      </c>
      <c r="F481" s="8">
        <f>F479-C481</f>
        <v>75</v>
      </c>
      <c r="H481" s="32"/>
    </row>
    <row r="482" spans="1:8" s="8" customFormat="1" x14ac:dyDescent="0.2">
      <c r="A482" s="141">
        <v>45473</v>
      </c>
      <c r="D482" s="64">
        <v>0</v>
      </c>
      <c r="H482" s="32"/>
    </row>
    <row r="483" spans="1:8" s="8" customFormat="1" x14ac:dyDescent="0.2">
      <c r="A483" s="139">
        <v>45565</v>
      </c>
      <c r="B483" s="8">
        <f>5%*F481</f>
        <v>3.75</v>
      </c>
      <c r="C483" s="8">
        <v>25</v>
      </c>
      <c r="D483" s="8">
        <f>B483+C483</f>
        <v>28.75</v>
      </c>
      <c r="F483" s="8">
        <f>F481-C483</f>
        <v>50</v>
      </c>
      <c r="H483" s="32"/>
    </row>
    <row r="484" spans="1:8" s="8" customFormat="1" x14ac:dyDescent="0.2">
      <c r="A484" s="141">
        <v>45657</v>
      </c>
      <c r="D484" s="64">
        <v>0</v>
      </c>
      <c r="H484" s="32"/>
    </row>
    <row r="485" spans="1:8" s="8" customFormat="1" x14ac:dyDescent="0.2">
      <c r="A485" s="139">
        <v>45747</v>
      </c>
      <c r="B485" s="8">
        <f>5%*F483</f>
        <v>2.5</v>
      </c>
      <c r="D485" s="8">
        <f>B485+C485</f>
        <v>2.5</v>
      </c>
      <c r="F485" s="8">
        <f>F483-C485</f>
        <v>50</v>
      </c>
      <c r="H485" s="32"/>
    </row>
    <row r="486" spans="1:8" s="8" customFormat="1" x14ac:dyDescent="0.2">
      <c r="A486" s="141">
        <v>45838</v>
      </c>
      <c r="D486" s="64">
        <v>0</v>
      </c>
      <c r="H486" s="32"/>
    </row>
    <row r="487" spans="1:8" s="8" customFormat="1" x14ac:dyDescent="0.2">
      <c r="A487" s="139">
        <v>45930</v>
      </c>
      <c r="B487" s="8">
        <f>5%*F485</f>
        <v>2.5</v>
      </c>
      <c r="C487" s="8">
        <v>25</v>
      </c>
      <c r="D487" s="8">
        <f>B487+C487</f>
        <v>27.5</v>
      </c>
      <c r="F487" s="8">
        <f>F485-C487</f>
        <v>25</v>
      </c>
      <c r="H487" s="32"/>
    </row>
    <row r="488" spans="1:8" s="8" customFormat="1" x14ac:dyDescent="0.2">
      <c r="A488" s="141">
        <v>46022</v>
      </c>
      <c r="D488" s="64">
        <v>0</v>
      </c>
      <c r="H488" s="32"/>
    </row>
    <row r="489" spans="1:8" s="8" customFormat="1" x14ac:dyDescent="0.2">
      <c r="A489" s="139">
        <v>46112</v>
      </c>
      <c r="B489" s="8">
        <f>5%*F487</f>
        <v>1.25</v>
      </c>
      <c r="D489" s="8">
        <f>B489+C489</f>
        <v>1.25</v>
      </c>
      <c r="F489" s="8">
        <f>F487-C489</f>
        <v>25</v>
      </c>
      <c r="H489" s="32"/>
    </row>
    <row r="490" spans="1:8" s="8" customFormat="1" x14ac:dyDescent="0.2">
      <c r="A490" s="141">
        <v>46203</v>
      </c>
      <c r="D490" s="64">
        <v>0</v>
      </c>
      <c r="H490" s="32"/>
    </row>
    <row r="491" spans="1:8" s="8" customFormat="1" x14ac:dyDescent="0.2">
      <c r="A491" s="139">
        <v>46295</v>
      </c>
      <c r="B491" s="8">
        <f>5%*F489</f>
        <v>1.25</v>
      </c>
      <c r="C491" s="8">
        <v>25</v>
      </c>
      <c r="D491" s="8">
        <f>B491+C491</f>
        <v>26.25</v>
      </c>
      <c r="F491" s="8">
        <f>F489-C491</f>
        <v>0</v>
      </c>
      <c r="H491" s="32"/>
    </row>
    <row r="492" spans="1:8" x14ac:dyDescent="0.2">
      <c r="A492" s="135"/>
      <c r="B492" s="7"/>
      <c r="C492" s="7"/>
      <c r="D492" s="7"/>
      <c r="E492" s="7"/>
      <c r="F492" s="7"/>
      <c r="G492" s="7"/>
      <c r="H492" s="136"/>
    </row>
    <row r="493" spans="1:8" s="8" customFormat="1" x14ac:dyDescent="0.2">
      <c r="A493" s="31" t="s">
        <v>473</v>
      </c>
      <c r="D493" s="85">
        <f>IRR(D472:D491)</f>
        <v>2.5124227610182626E-2</v>
      </c>
      <c r="H493" s="32"/>
    </row>
    <row r="494" spans="1:8" s="8" customFormat="1" x14ac:dyDescent="0.2">
      <c r="A494" s="31" t="s">
        <v>474</v>
      </c>
      <c r="H494" s="32"/>
    </row>
    <row r="495" spans="1:8" s="8" customFormat="1" x14ac:dyDescent="0.2">
      <c r="A495" s="103" t="s">
        <v>475</v>
      </c>
      <c r="D495" s="85">
        <f>(1+D493)^4-1</f>
        <v>0.104348106110564</v>
      </c>
      <c r="F495" s="8" t="s">
        <v>476</v>
      </c>
      <c r="H495" s="32"/>
    </row>
    <row r="496" spans="1:8" s="8" customFormat="1" ht="17" thickBot="1" x14ac:dyDescent="0.25">
      <c r="A496" s="33"/>
      <c r="B496" s="34"/>
      <c r="C496" s="34"/>
      <c r="D496" s="34"/>
      <c r="E496" s="34"/>
      <c r="F496" s="34"/>
      <c r="G496" s="34"/>
      <c r="H496" s="35"/>
    </row>
    <row r="498" spans="1:8" x14ac:dyDescent="0.2">
      <c r="A498" s="1" t="s">
        <v>477</v>
      </c>
    </row>
    <row r="499" spans="1:8" x14ac:dyDescent="0.2">
      <c r="A499" s="1" t="s">
        <v>478</v>
      </c>
    </row>
    <row r="500" spans="1:8" x14ac:dyDescent="0.2">
      <c r="A500" s="1" t="s">
        <v>479</v>
      </c>
    </row>
    <row r="502" spans="1:8" x14ac:dyDescent="0.2">
      <c r="A502" s="81" t="s">
        <v>3448</v>
      </c>
      <c r="B502" s="38"/>
      <c r="C502" s="38"/>
      <c r="D502" s="38"/>
      <c r="E502" s="38"/>
      <c r="F502" s="38"/>
      <c r="G502" s="38"/>
      <c r="H502" s="38"/>
    </row>
    <row r="503" spans="1:8" x14ac:dyDescent="0.2">
      <c r="A503" s="1" t="s">
        <v>480</v>
      </c>
    </row>
    <row r="504" spans="1:8" x14ac:dyDescent="0.2">
      <c r="A504" s="1" t="s">
        <v>481</v>
      </c>
    </row>
    <row r="505" spans="1:8" x14ac:dyDescent="0.2">
      <c r="A505" s="1" t="s">
        <v>482</v>
      </c>
    </row>
    <row r="506" spans="1:8" ht="17" thickBot="1" x14ac:dyDescent="0.25">
      <c r="G506" s="1" t="s">
        <v>483</v>
      </c>
    </row>
    <row r="507" spans="1:8" x14ac:dyDescent="0.2">
      <c r="A507" s="16" t="s">
        <v>198</v>
      </c>
      <c r="B507" s="17"/>
      <c r="C507" s="17"/>
      <c r="D507" s="17"/>
      <c r="E507" s="17"/>
      <c r="F507" s="17"/>
      <c r="G507" s="17"/>
      <c r="H507" s="18"/>
    </row>
    <row r="508" spans="1:8" s="8" customFormat="1" x14ac:dyDescent="0.2">
      <c r="A508" s="31"/>
      <c r="B508" s="8" t="s">
        <v>203</v>
      </c>
      <c r="C508" s="8" t="s">
        <v>304</v>
      </c>
      <c r="D508" s="8" t="s">
        <v>460</v>
      </c>
      <c r="F508" s="8" t="s">
        <v>461</v>
      </c>
      <c r="H508" s="32"/>
    </row>
    <row r="509" spans="1:8" s="8" customFormat="1" x14ac:dyDescent="0.2">
      <c r="A509" s="139">
        <v>44864</v>
      </c>
      <c r="B509" s="7"/>
      <c r="C509" s="7"/>
      <c r="D509" s="7"/>
      <c r="E509" s="7"/>
      <c r="F509" s="8">
        <v>100</v>
      </c>
      <c r="H509" s="32"/>
    </row>
    <row r="510" spans="1:8" s="8" customFormat="1" x14ac:dyDescent="0.2">
      <c r="A510" s="139">
        <v>45016</v>
      </c>
      <c r="B510" s="8">
        <f t="shared" ref="B510:B515" si="8">4%*F509</f>
        <v>4</v>
      </c>
      <c r="C510" s="7"/>
      <c r="D510" s="8">
        <f t="shared" ref="D510:D515" si="9">B510+C510</f>
        <v>4</v>
      </c>
      <c r="E510" s="7"/>
      <c r="F510" s="8">
        <f t="shared" ref="F510:F515" si="10">F509-C510</f>
        <v>100</v>
      </c>
      <c r="H510" s="32"/>
    </row>
    <row r="511" spans="1:8" s="8" customFormat="1" x14ac:dyDescent="0.2">
      <c r="A511" s="139">
        <v>45199</v>
      </c>
      <c r="B511" s="8">
        <f t="shared" si="8"/>
        <v>4</v>
      </c>
      <c r="C511" s="7"/>
      <c r="D511" s="8">
        <f t="shared" si="9"/>
        <v>4</v>
      </c>
      <c r="E511" s="7"/>
      <c r="F511" s="8">
        <f t="shared" si="10"/>
        <v>100</v>
      </c>
      <c r="H511" s="32"/>
    </row>
    <row r="512" spans="1:8" x14ac:dyDescent="0.2">
      <c r="A512" s="137">
        <v>45382</v>
      </c>
      <c r="B512" s="8">
        <f t="shared" si="8"/>
        <v>4</v>
      </c>
      <c r="C512" s="7"/>
      <c r="D512" s="8">
        <f t="shared" si="9"/>
        <v>4</v>
      </c>
      <c r="E512" s="7"/>
      <c r="F512" s="8">
        <f t="shared" si="10"/>
        <v>100</v>
      </c>
      <c r="G512" s="7"/>
      <c r="H512" s="136"/>
    </row>
    <row r="513" spans="1:8" x14ac:dyDescent="0.2">
      <c r="A513" s="142">
        <v>45565</v>
      </c>
      <c r="B513" s="8">
        <f t="shared" si="8"/>
        <v>4</v>
      </c>
      <c r="C513" s="8">
        <v>50</v>
      </c>
      <c r="D513" s="8">
        <f t="shared" si="9"/>
        <v>54</v>
      </c>
      <c r="E513" s="7"/>
      <c r="F513" s="8">
        <f t="shared" si="10"/>
        <v>50</v>
      </c>
      <c r="G513" s="7"/>
      <c r="H513" s="136"/>
    </row>
    <row r="514" spans="1:8" x14ac:dyDescent="0.2">
      <c r="A514" s="137">
        <v>45747</v>
      </c>
      <c r="B514" s="8">
        <f t="shared" si="8"/>
        <v>2</v>
      </c>
      <c r="C514" s="7"/>
      <c r="D514" s="8">
        <f t="shared" si="9"/>
        <v>2</v>
      </c>
      <c r="E514" s="7"/>
      <c r="F514" s="8">
        <f t="shared" si="10"/>
        <v>50</v>
      </c>
      <c r="G514" s="7"/>
      <c r="H514" s="136"/>
    </row>
    <row r="515" spans="1:8" x14ac:dyDescent="0.2">
      <c r="A515" s="142">
        <v>45930</v>
      </c>
      <c r="B515" s="8">
        <f t="shared" si="8"/>
        <v>2</v>
      </c>
      <c r="C515" s="8">
        <v>50</v>
      </c>
      <c r="D515" s="8">
        <f t="shared" si="9"/>
        <v>52</v>
      </c>
      <c r="E515" s="7"/>
      <c r="F515" s="8">
        <f t="shared" si="10"/>
        <v>0</v>
      </c>
      <c r="G515" s="7"/>
      <c r="H515" s="136"/>
    </row>
    <row r="516" spans="1:8" x14ac:dyDescent="0.2">
      <c r="A516" s="19"/>
      <c r="B516" s="7"/>
      <c r="C516" s="7"/>
      <c r="D516" s="7"/>
      <c r="E516" s="7"/>
      <c r="F516" s="7"/>
      <c r="G516" s="7"/>
      <c r="H516" s="136"/>
    </row>
    <row r="517" spans="1:8" s="8" customFormat="1" x14ac:dyDescent="0.2">
      <c r="A517" s="31" t="s">
        <v>484</v>
      </c>
      <c r="H517" s="32"/>
    </row>
    <row r="518" spans="1:8" s="8" customFormat="1" x14ac:dyDescent="0.2">
      <c r="A518" s="31"/>
      <c r="D518" s="9">
        <v>0.03</v>
      </c>
      <c r="F518" s="8" t="s">
        <v>485</v>
      </c>
      <c r="H518" s="32"/>
    </row>
    <row r="519" spans="1:8" s="8" customFormat="1" x14ac:dyDescent="0.2">
      <c r="A519" s="31"/>
      <c r="H519" s="32"/>
    </row>
    <row r="520" spans="1:8" s="8" customFormat="1" x14ac:dyDescent="0.2">
      <c r="A520" s="31" t="s">
        <v>486</v>
      </c>
      <c r="D520" s="144">
        <f>NPV(D518,D510:D515)</f>
        <v>104.56714492334427</v>
      </c>
      <c r="H520" s="32"/>
    </row>
    <row r="521" spans="1:8" s="8" customFormat="1" x14ac:dyDescent="0.2">
      <c r="A521" s="31"/>
      <c r="H521" s="32"/>
    </row>
    <row r="522" spans="1:8" s="8" customFormat="1" x14ac:dyDescent="0.2">
      <c r="A522" s="31" t="s">
        <v>487</v>
      </c>
      <c r="H522" s="32"/>
    </row>
    <row r="523" spans="1:8" s="8" customFormat="1" x14ac:dyDescent="0.2">
      <c r="A523" s="31" t="s">
        <v>488</v>
      </c>
      <c r="H523" s="32"/>
    </row>
    <row r="524" spans="1:8" s="8" customFormat="1" x14ac:dyDescent="0.2">
      <c r="A524" s="31"/>
      <c r="H524" s="32"/>
    </row>
    <row r="525" spans="1:8" s="8" customFormat="1" x14ac:dyDescent="0.2">
      <c r="A525" s="31" t="s">
        <v>489</v>
      </c>
      <c r="B525" s="79">
        <v>44834</v>
      </c>
      <c r="H525" s="32"/>
    </row>
    <row r="526" spans="1:8" s="8" customFormat="1" x14ac:dyDescent="0.2">
      <c r="A526" s="31" t="s">
        <v>490</v>
      </c>
      <c r="B526" s="79">
        <v>44864</v>
      </c>
      <c r="H526" s="32"/>
    </row>
    <row r="527" spans="1:8" s="8" customFormat="1" x14ac:dyDescent="0.2">
      <c r="A527" s="31" t="s">
        <v>491</v>
      </c>
      <c r="B527" s="8">
        <f>B526-B525+1</f>
        <v>31</v>
      </c>
      <c r="H527" s="32"/>
    </row>
    <row r="528" spans="1:8" x14ac:dyDescent="0.2">
      <c r="A528" s="135"/>
      <c r="B528" s="7"/>
      <c r="C528" s="7"/>
      <c r="D528" s="8"/>
      <c r="E528" s="7"/>
      <c r="F528" s="7"/>
      <c r="G528" s="7"/>
      <c r="H528" s="136"/>
    </row>
    <row r="529" spans="1:8" x14ac:dyDescent="0.2">
      <c r="A529" s="135"/>
      <c r="B529" s="7"/>
      <c r="C529" s="113">
        <v>6.0900000000000003E-2</v>
      </c>
      <c r="D529" s="62" t="s">
        <v>117</v>
      </c>
      <c r="E529" s="8" t="s">
        <v>492</v>
      </c>
      <c r="F529" s="7"/>
      <c r="G529" s="7"/>
      <c r="H529" s="136"/>
    </row>
    <row r="530" spans="1:8" x14ac:dyDescent="0.2">
      <c r="A530" s="31"/>
      <c r="B530" s="8" t="s">
        <v>493</v>
      </c>
      <c r="C530" s="143">
        <f>B527/365</f>
        <v>8.4931506849315067E-2</v>
      </c>
      <c r="D530" s="62" t="s">
        <v>119</v>
      </c>
      <c r="E530" s="7"/>
      <c r="F530" s="7"/>
      <c r="G530" s="7"/>
      <c r="H530" s="136"/>
    </row>
    <row r="531" spans="1:8" x14ac:dyDescent="0.2">
      <c r="A531" s="135"/>
      <c r="B531" s="7"/>
      <c r="C531" s="62">
        <v>0</v>
      </c>
      <c r="D531" s="62" t="s">
        <v>123</v>
      </c>
      <c r="E531" s="7"/>
      <c r="F531" s="7"/>
      <c r="G531" s="7"/>
      <c r="H531" s="136"/>
    </row>
    <row r="532" spans="1:8" x14ac:dyDescent="0.2">
      <c r="A532" s="135"/>
      <c r="B532" s="7"/>
      <c r="C532" s="145">
        <f>-D520</f>
        <v>-104.56714492334427</v>
      </c>
      <c r="D532" s="62" t="s">
        <v>121</v>
      </c>
      <c r="E532" s="8" t="s">
        <v>494</v>
      </c>
      <c r="F532" s="7"/>
      <c r="G532" s="7"/>
      <c r="H532" s="136"/>
    </row>
    <row r="533" spans="1:8" x14ac:dyDescent="0.2">
      <c r="A533" s="135"/>
      <c r="B533" s="7"/>
      <c r="C533" s="66">
        <f>FV(C529,C530,C531,C532)</f>
        <v>105.09349131296536</v>
      </c>
      <c r="D533" s="62" t="s">
        <v>125</v>
      </c>
      <c r="E533" s="7"/>
      <c r="F533" s="7"/>
      <c r="G533" s="7"/>
      <c r="H533" s="136"/>
    </row>
    <row r="534" spans="1:8" s="8" customFormat="1" x14ac:dyDescent="0.2">
      <c r="A534" s="31"/>
      <c r="H534" s="32"/>
    </row>
    <row r="535" spans="1:8" s="8" customFormat="1" ht="17" thickBot="1" x14ac:dyDescent="0.25">
      <c r="A535" s="33" t="s">
        <v>495</v>
      </c>
      <c r="B535" s="34"/>
      <c r="C535" s="34"/>
      <c r="D535" s="34"/>
      <c r="E535" s="34"/>
      <c r="F535" s="34"/>
      <c r="G535" s="34"/>
      <c r="H535" s="35"/>
    </row>
    <row r="537" spans="1:8" x14ac:dyDescent="0.2">
      <c r="A537" s="81" t="s">
        <v>3449</v>
      </c>
      <c r="B537" s="38"/>
      <c r="C537" s="38"/>
      <c r="D537" s="38"/>
      <c r="E537" s="38"/>
      <c r="F537" s="38"/>
      <c r="G537" s="38"/>
      <c r="H537" s="38"/>
    </row>
    <row r="538" spans="1:8" x14ac:dyDescent="0.2">
      <c r="A538" s="1" t="s">
        <v>496</v>
      </c>
    </row>
    <row r="539" spans="1:8" x14ac:dyDescent="0.2">
      <c r="A539" s="1" t="s">
        <v>497</v>
      </c>
    </row>
    <row r="540" spans="1:8" x14ac:dyDescent="0.2">
      <c r="A540" s="1" t="s">
        <v>498</v>
      </c>
    </row>
    <row r="541" spans="1:8" x14ac:dyDescent="0.2">
      <c r="A541" s="1" t="s">
        <v>499</v>
      </c>
    </row>
    <row r="542" spans="1:8" ht="17" thickBot="1" x14ac:dyDescent="0.25">
      <c r="F542" s="1" t="s">
        <v>500</v>
      </c>
    </row>
    <row r="543" spans="1:8" x14ac:dyDescent="0.2">
      <c r="A543" s="16" t="s">
        <v>198</v>
      </c>
      <c r="B543" s="17"/>
      <c r="C543" s="17"/>
      <c r="D543" s="17"/>
      <c r="E543" s="17"/>
      <c r="F543" s="17"/>
      <c r="G543" s="17"/>
      <c r="H543" s="18"/>
    </row>
    <row r="544" spans="1:8" x14ac:dyDescent="0.2">
      <c r="A544" s="19" t="s">
        <v>501</v>
      </c>
      <c r="H544" s="20"/>
    </row>
    <row r="545" spans="1:8" s="8" customFormat="1" x14ac:dyDescent="0.2">
      <c r="A545" s="31" t="s">
        <v>502</v>
      </c>
      <c r="H545" s="32"/>
    </row>
    <row r="546" spans="1:8" s="8" customFormat="1" x14ac:dyDescent="0.2">
      <c r="A546" s="31" t="s">
        <v>503</v>
      </c>
      <c r="H546" s="32"/>
    </row>
    <row r="547" spans="1:8" s="8" customFormat="1" x14ac:dyDescent="0.2">
      <c r="A547" s="31"/>
      <c r="H547" s="32"/>
    </row>
    <row r="548" spans="1:8" s="8" customFormat="1" x14ac:dyDescent="0.2">
      <c r="A548" s="31" t="s">
        <v>504</v>
      </c>
      <c r="H548" s="32"/>
    </row>
    <row r="549" spans="1:8" s="8" customFormat="1" x14ac:dyDescent="0.2">
      <c r="A549" s="31" t="s">
        <v>505</v>
      </c>
      <c r="H549" s="32"/>
    </row>
    <row r="550" spans="1:8" s="8" customFormat="1" x14ac:dyDescent="0.2">
      <c r="A550" s="31"/>
      <c r="H550" s="32"/>
    </row>
    <row r="551" spans="1:8" s="8" customFormat="1" x14ac:dyDescent="0.2">
      <c r="A551" s="31" t="s">
        <v>506</v>
      </c>
      <c r="H551" s="32"/>
    </row>
    <row r="552" spans="1:8" x14ac:dyDescent="0.2">
      <c r="A552" s="135"/>
      <c r="B552" s="7"/>
      <c r="C552" s="7"/>
      <c r="D552" s="7"/>
      <c r="E552" s="7"/>
      <c r="F552" s="7"/>
      <c r="G552" s="7"/>
      <c r="H552" s="136"/>
    </row>
    <row r="553" spans="1:8" x14ac:dyDescent="0.2">
      <c r="A553" s="31"/>
      <c r="B553" s="8"/>
      <c r="C553" s="138" t="s">
        <v>507</v>
      </c>
      <c r="D553" s="9">
        <v>0.05</v>
      </c>
      <c r="E553" s="8" t="s">
        <v>117</v>
      </c>
      <c r="F553" s="7"/>
      <c r="G553" s="8" t="s">
        <v>508</v>
      </c>
      <c r="H553" s="32"/>
    </row>
    <row r="554" spans="1:8" x14ac:dyDescent="0.2">
      <c r="A554" s="31"/>
      <c r="B554" s="8"/>
      <c r="C554" s="138" t="s">
        <v>509</v>
      </c>
      <c r="D554" s="8">
        <f>5*2-4</f>
        <v>6</v>
      </c>
      <c r="E554" s="8" t="s">
        <v>119</v>
      </c>
      <c r="F554" s="7"/>
      <c r="G554" s="8" t="s">
        <v>510</v>
      </c>
      <c r="H554" s="32"/>
    </row>
    <row r="555" spans="1:8" x14ac:dyDescent="0.2">
      <c r="A555" s="135"/>
      <c r="B555" s="7"/>
      <c r="C555" s="7"/>
      <c r="D555" s="8">
        <f>4%*100</f>
        <v>4</v>
      </c>
      <c r="E555" s="8" t="s">
        <v>123</v>
      </c>
      <c r="F555" s="7"/>
      <c r="G555" s="8" t="s">
        <v>511</v>
      </c>
      <c r="H555" s="32"/>
    </row>
    <row r="556" spans="1:8" x14ac:dyDescent="0.2">
      <c r="A556" s="135"/>
      <c r="B556" s="7"/>
      <c r="C556" s="7"/>
      <c r="D556" s="10">
        <f>PV(D553,D554,D555,D557)</f>
        <v>-94.92430793273256</v>
      </c>
      <c r="E556" s="8" t="s">
        <v>121</v>
      </c>
      <c r="F556" s="7"/>
      <c r="G556" s="8" t="s">
        <v>512</v>
      </c>
      <c r="H556" s="32"/>
    </row>
    <row r="557" spans="1:8" x14ac:dyDescent="0.2">
      <c r="A557" s="135"/>
      <c r="B557" s="7"/>
      <c r="C557" s="7"/>
      <c r="D557" s="8">
        <v>100</v>
      </c>
      <c r="E557" s="8" t="s">
        <v>125</v>
      </c>
      <c r="F557" s="7"/>
      <c r="G557" s="8" t="s">
        <v>513</v>
      </c>
      <c r="H557" s="32"/>
    </row>
    <row r="558" spans="1:8" x14ac:dyDescent="0.2">
      <c r="A558" s="135"/>
      <c r="B558" s="7"/>
      <c r="C558" s="7"/>
      <c r="D558" s="8"/>
      <c r="E558" s="8"/>
      <c r="F558" s="7"/>
      <c r="G558" s="8" t="s">
        <v>514</v>
      </c>
      <c r="H558" s="32"/>
    </row>
    <row r="559" spans="1:8" x14ac:dyDescent="0.2">
      <c r="A559" s="135"/>
      <c r="B559" s="7"/>
      <c r="C559" s="7"/>
      <c r="D559" s="8"/>
      <c r="E559" s="8"/>
      <c r="F559" s="7"/>
      <c r="G559" s="8" t="s">
        <v>515</v>
      </c>
      <c r="H559" s="32"/>
    </row>
    <row r="560" spans="1:8" x14ac:dyDescent="0.2">
      <c r="A560" s="135"/>
      <c r="B560" s="7"/>
      <c r="C560" s="7"/>
      <c r="D560" s="7"/>
      <c r="E560" s="7"/>
      <c r="F560" s="7"/>
      <c r="G560" s="8" t="s">
        <v>516</v>
      </c>
      <c r="H560" s="32"/>
    </row>
    <row r="561" spans="1:8" x14ac:dyDescent="0.2">
      <c r="A561" s="135"/>
      <c r="B561" s="7"/>
      <c r="C561" s="7"/>
      <c r="D561" s="7"/>
      <c r="E561" s="7"/>
      <c r="F561" s="7"/>
      <c r="G561" s="8"/>
      <c r="H561" s="32"/>
    </row>
    <row r="562" spans="1:8" s="8" customFormat="1" x14ac:dyDescent="0.2">
      <c r="A562" s="31" t="s">
        <v>517</v>
      </c>
      <c r="H562" s="32"/>
    </row>
    <row r="563" spans="1:8" s="8" customFormat="1" x14ac:dyDescent="0.2">
      <c r="A563" s="31" t="s">
        <v>518</v>
      </c>
      <c r="H563" s="32"/>
    </row>
    <row r="564" spans="1:8" s="8" customFormat="1" x14ac:dyDescent="0.2">
      <c r="A564" s="31"/>
      <c r="H564" s="32"/>
    </row>
    <row r="565" spans="1:8" s="8" customFormat="1" x14ac:dyDescent="0.2">
      <c r="A565" s="31"/>
      <c r="C565" s="146">
        <f>(16+94.92)/95-1</f>
        <v>0.16757894736842105</v>
      </c>
      <c r="E565" s="8" t="s">
        <v>519</v>
      </c>
      <c r="H565" s="32"/>
    </row>
    <row r="566" spans="1:8" s="8" customFormat="1" x14ac:dyDescent="0.2">
      <c r="A566" s="31"/>
      <c r="H566" s="32"/>
    </row>
    <row r="567" spans="1:8" s="8" customFormat="1" x14ac:dyDescent="0.2">
      <c r="A567" s="31" t="s">
        <v>520</v>
      </c>
      <c r="H567" s="32"/>
    </row>
    <row r="568" spans="1:8" s="8" customFormat="1" ht="17" thickBot="1" x14ac:dyDescent="0.25">
      <c r="A568" s="33" t="s">
        <v>521</v>
      </c>
      <c r="B568" s="34"/>
      <c r="C568" s="147">
        <f>(1+C565)^0.5-1</f>
        <v>8.0545671116413864E-2</v>
      </c>
      <c r="D568" s="34"/>
      <c r="E568" s="34" t="s">
        <v>522</v>
      </c>
      <c r="F568" s="34"/>
      <c r="G568" s="34"/>
      <c r="H568" s="35"/>
    </row>
    <row r="569" spans="1:8" ht="17" thickBot="1" x14ac:dyDescent="0.25">
      <c r="A569" s="8"/>
      <c r="B569" s="8"/>
      <c r="C569" s="8"/>
      <c r="D569" s="8"/>
      <c r="E569" s="8"/>
      <c r="F569" s="8"/>
      <c r="G569" s="8"/>
      <c r="H569" s="8"/>
    </row>
    <row r="570" spans="1:8" x14ac:dyDescent="0.2">
      <c r="A570" s="102" t="s">
        <v>523</v>
      </c>
      <c r="B570" s="29"/>
      <c r="C570" s="29"/>
      <c r="D570" s="29"/>
      <c r="E570" s="29"/>
      <c r="F570" s="29"/>
      <c r="G570" s="29"/>
      <c r="H570" s="30"/>
    </row>
    <row r="571" spans="1:8" x14ac:dyDescent="0.2">
      <c r="A571" s="103" t="s">
        <v>524</v>
      </c>
      <c r="B571" s="8"/>
      <c r="C571" s="8"/>
      <c r="D571" s="8"/>
      <c r="E571" s="8"/>
      <c r="F571" s="8"/>
      <c r="G571" s="8"/>
      <c r="H571" s="32"/>
    </row>
    <row r="572" spans="1:8" x14ac:dyDescent="0.2">
      <c r="A572" s="103" t="s">
        <v>525</v>
      </c>
      <c r="B572" s="8"/>
      <c r="C572" s="8"/>
      <c r="D572" s="8"/>
      <c r="E572" s="8"/>
      <c r="F572" s="8"/>
      <c r="G572" s="8"/>
      <c r="H572" s="32"/>
    </row>
    <row r="573" spans="1:8" ht="17" thickBot="1" x14ac:dyDescent="0.25">
      <c r="A573" s="127" t="s">
        <v>526</v>
      </c>
      <c r="B573" s="22"/>
      <c r="C573" s="22"/>
      <c r="D573" s="22"/>
      <c r="E573" s="22"/>
      <c r="F573" s="22"/>
      <c r="G573" s="22"/>
      <c r="H573" s="23"/>
    </row>
    <row r="575" spans="1:8" x14ac:dyDescent="0.2">
      <c r="A575" s="81" t="s">
        <v>3450</v>
      </c>
      <c r="B575" s="38"/>
      <c r="C575" s="38"/>
      <c r="D575" s="38"/>
      <c r="E575" s="38"/>
      <c r="F575" s="38"/>
      <c r="G575" s="38"/>
      <c r="H575" s="38"/>
    </row>
    <row r="576" spans="1:8" x14ac:dyDescent="0.2">
      <c r="D576" s="8"/>
    </row>
    <row r="577" spans="1:6" x14ac:dyDescent="0.2">
      <c r="A577" s="1" t="s">
        <v>2609</v>
      </c>
    </row>
    <row r="578" spans="1:6" x14ac:dyDescent="0.2">
      <c r="A578" s="1" t="s">
        <v>2610</v>
      </c>
    </row>
    <row r="579" spans="1:6" x14ac:dyDescent="0.2">
      <c r="A579" s="1" t="s">
        <v>2611</v>
      </c>
    </row>
    <row r="581" spans="1:6" x14ac:dyDescent="0.2">
      <c r="A581" s="1" t="s">
        <v>382</v>
      </c>
    </row>
    <row r="582" spans="1:6" x14ac:dyDescent="0.2">
      <c r="A582" s="1" t="s">
        <v>383</v>
      </c>
    </row>
    <row r="583" spans="1:6" x14ac:dyDescent="0.2">
      <c r="A583" s="1" t="s">
        <v>390</v>
      </c>
    </row>
    <row r="584" spans="1:6" x14ac:dyDescent="0.2">
      <c r="A584" s="1" t="s">
        <v>391</v>
      </c>
    </row>
    <row r="585" spans="1:6" x14ac:dyDescent="0.2">
      <c r="A585" s="13"/>
    </row>
    <row r="586" spans="1:6" x14ac:dyDescent="0.2">
      <c r="A586" s="1" t="s">
        <v>386</v>
      </c>
    </row>
    <row r="587" spans="1:6" x14ac:dyDescent="0.2">
      <c r="A587" s="1" t="s">
        <v>2590</v>
      </c>
      <c r="B587" s="24">
        <v>44763</v>
      </c>
      <c r="D587" s="1" t="s">
        <v>2592</v>
      </c>
    </row>
    <row r="588" spans="1:6" x14ac:dyDescent="0.2">
      <c r="A588" s="1" t="s">
        <v>2591</v>
      </c>
      <c r="B588" s="24">
        <v>44926</v>
      </c>
      <c r="D588" s="9">
        <v>0.03</v>
      </c>
      <c r="E588" s="1" t="s">
        <v>117</v>
      </c>
      <c r="F588" s="1" t="s">
        <v>392</v>
      </c>
    </row>
    <row r="589" spans="1:6" x14ac:dyDescent="0.2">
      <c r="A589" s="1" t="s">
        <v>2594</v>
      </c>
      <c r="B589" s="1">
        <f>B588-B587</f>
        <v>163</v>
      </c>
      <c r="D589" s="84">
        <f>B589/365</f>
        <v>0.44657534246575342</v>
      </c>
      <c r="E589" s="1" t="s">
        <v>119</v>
      </c>
      <c r="F589" s="1" t="s">
        <v>2593</v>
      </c>
    </row>
    <row r="590" spans="1:6" x14ac:dyDescent="0.2">
      <c r="D590" s="10">
        <f>PV(D588,D589,D591,D592)</f>
        <v>-98.688650874512561</v>
      </c>
      <c r="E590" s="1" t="s">
        <v>121</v>
      </c>
    </row>
    <row r="591" spans="1:6" x14ac:dyDescent="0.2">
      <c r="D591" s="8">
        <v>0</v>
      </c>
      <c r="E591" s="1" t="s">
        <v>123</v>
      </c>
    </row>
    <row r="592" spans="1:6" x14ac:dyDescent="0.2">
      <c r="D592" s="8">
        <v>100</v>
      </c>
      <c r="E592" s="1" t="s">
        <v>125</v>
      </c>
    </row>
  </sheetData>
  <mergeCells count="3">
    <mergeCell ref="D89:F89"/>
    <mergeCell ref="A405:H405"/>
    <mergeCell ref="A372:H372"/>
  </mergeCells>
  <pageMargins left="0.7" right="0.7" top="0.75" bottom="0.75" header="0.3" footer="0.3"/>
  <pageSetup paperSize="9" orientation="portrait" horizontalDpi="0" verticalDpi="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7027C9-3E47-B840-82D5-8A45D91BFA2E}">
  <dimension ref="A1:M596"/>
  <sheetViews>
    <sheetView rightToLeft="1" topLeftCell="A291" zoomScale="358" workbookViewId="0">
      <selection activeCell="C352" sqref="C352"/>
    </sheetView>
  </sheetViews>
  <sheetFormatPr baseColWidth="10" defaultColWidth="10.83203125" defaultRowHeight="16" x14ac:dyDescent="0.2"/>
  <cols>
    <col min="1" max="4" width="10.83203125" style="1"/>
    <col min="5" max="5" width="11.83203125" style="1" bestFit="1" customWidth="1"/>
    <col min="6" max="7" width="10.83203125" style="1"/>
    <col min="8" max="8" width="12" style="1" customWidth="1"/>
    <col min="9" max="16384" width="10.83203125" style="1"/>
  </cols>
  <sheetData>
    <row r="1" spans="1:8" x14ac:dyDescent="0.2">
      <c r="A1" s="3" t="s">
        <v>2626</v>
      </c>
      <c r="B1" s="2"/>
      <c r="C1" s="2"/>
      <c r="D1" s="2"/>
      <c r="E1" s="2"/>
      <c r="F1" s="2"/>
      <c r="G1" s="2"/>
      <c r="H1" s="46">
        <v>45628</v>
      </c>
    </row>
    <row r="2" spans="1:8" ht="17" thickBot="1" x14ac:dyDescent="0.25"/>
    <row r="3" spans="1:8" x14ac:dyDescent="0.2">
      <c r="A3" s="57" t="s">
        <v>2625</v>
      </c>
      <c r="B3" s="17"/>
      <c r="C3" s="17"/>
      <c r="D3" s="17"/>
      <c r="E3" s="17"/>
      <c r="F3" s="17"/>
      <c r="G3" s="17"/>
      <c r="H3" s="18"/>
    </row>
    <row r="4" spans="1:8" ht="17" thickBot="1" x14ac:dyDescent="0.25">
      <c r="A4" s="21" t="s">
        <v>2745</v>
      </c>
      <c r="B4" s="22"/>
      <c r="C4" s="22"/>
      <c r="D4" s="22"/>
      <c r="E4" s="22"/>
      <c r="F4" s="22"/>
      <c r="G4" s="22"/>
      <c r="H4" s="23"/>
    </row>
    <row r="5" spans="1:8" x14ac:dyDescent="0.2">
      <c r="A5" s="1" t="s">
        <v>2746</v>
      </c>
    </row>
    <row r="6" spans="1:8" ht="17" thickBot="1" x14ac:dyDescent="0.25"/>
    <row r="7" spans="1:8" x14ac:dyDescent="0.2">
      <c r="A7" s="57" t="s">
        <v>438</v>
      </c>
      <c r="B7" s="17"/>
      <c r="C7" s="17"/>
      <c r="D7" s="17"/>
      <c r="E7" s="17"/>
      <c r="F7" s="17"/>
      <c r="G7" s="17"/>
      <c r="H7" s="18"/>
    </row>
    <row r="8" spans="1:8" x14ac:dyDescent="0.2">
      <c r="A8" s="19" t="s">
        <v>439</v>
      </c>
      <c r="H8" s="20"/>
    </row>
    <row r="9" spans="1:8" x14ac:dyDescent="0.2">
      <c r="A9" s="19" t="s">
        <v>440</v>
      </c>
      <c r="H9" s="20"/>
    </row>
    <row r="10" spans="1:8" x14ac:dyDescent="0.2">
      <c r="A10" s="19" t="s">
        <v>441</v>
      </c>
      <c r="H10" s="20"/>
    </row>
    <row r="11" spans="1:8" ht="17" thickBot="1" x14ac:dyDescent="0.25">
      <c r="A11" s="21" t="s">
        <v>442</v>
      </c>
      <c r="B11" s="22"/>
      <c r="C11" s="22"/>
      <c r="D11" s="22"/>
      <c r="E11" s="22"/>
      <c r="F11" s="22"/>
      <c r="G11" s="22"/>
      <c r="H11" s="23"/>
    </row>
    <row r="12" spans="1:8" ht="17" thickBot="1" x14ac:dyDescent="0.25"/>
    <row r="13" spans="1:8" x14ac:dyDescent="0.2">
      <c r="A13" s="57" t="s">
        <v>443</v>
      </c>
      <c r="B13" s="17"/>
      <c r="C13" s="17"/>
      <c r="D13" s="17"/>
      <c r="E13" s="17"/>
      <c r="F13" s="17"/>
      <c r="G13" s="17"/>
      <c r="H13" s="18"/>
    </row>
    <row r="14" spans="1:8" x14ac:dyDescent="0.2">
      <c r="A14" s="19" t="s">
        <v>444</v>
      </c>
      <c r="H14" s="20"/>
    </row>
    <row r="15" spans="1:8" x14ac:dyDescent="0.2">
      <c r="A15" s="19" t="s">
        <v>445</v>
      </c>
      <c r="H15" s="20"/>
    </row>
    <row r="16" spans="1:8" ht="17" thickBot="1" x14ac:dyDescent="0.25">
      <c r="A16" s="21" t="s">
        <v>446</v>
      </c>
      <c r="B16" s="22"/>
      <c r="C16" s="22"/>
      <c r="D16" s="22"/>
      <c r="E16" s="22"/>
      <c r="F16" s="22"/>
      <c r="G16" s="22"/>
      <c r="H16" s="23"/>
    </row>
    <row r="18" spans="1:8" x14ac:dyDescent="0.2">
      <c r="A18" s="81" t="s">
        <v>2693</v>
      </c>
      <c r="B18" s="38"/>
      <c r="C18" s="38"/>
      <c r="D18" s="38"/>
      <c r="E18" s="38"/>
      <c r="F18" s="38"/>
      <c r="G18" s="38"/>
      <c r="H18" s="38"/>
    </row>
    <row r="19" spans="1:8" s="8" customFormat="1" x14ac:dyDescent="0.2">
      <c r="A19" s="8" t="s">
        <v>447</v>
      </c>
    </row>
    <row r="20" spans="1:8" s="8" customFormat="1" x14ac:dyDescent="0.2">
      <c r="A20" s="8" t="s">
        <v>448</v>
      </c>
    </row>
    <row r="21" spans="1:8" s="8" customFormat="1" x14ac:dyDescent="0.2">
      <c r="A21" s="8" t="s">
        <v>2797</v>
      </c>
    </row>
    <row r="22" spans="1:8" s="8" customFormat="1" x14ac:dyDescent="0.2">
      <c r="A22" s="8" t="s">
        <v>449</v>
      </c>
    </row>
    <row r="23" spans="1:8" s="8" customFormat="1" x14ac:dyDescent="0.2">
      <c r="A23" s="8" t="s">
        <v>450</v>
      </c>
    </row>
    <row r="25" spans="1:8" x14ac:dyDescent="0.2">
      <c r="A25" s="1" t="s">
        <v>382</v>
      </c>
    </row>
    <row r="27" spans="1:8" x14ac:dyDescent="0.2">
      <c r="A27" s="1" t="s">
        <v>3457</v>
      </c>
    </row>
    <row r="28" spans="1:8" x14ac:dyDescent="0.2">
      <c r="A28" s="1" t="s">
        <v>3458</v>
      </c>
    </row>
    <row r="30" spans="1:8" x14ac:dyDescent="0.2">
      <c r="A30" s="4" t="s">
        <v>2679</v>
      </c>
    </row>
    <row r="31" spans="1:8" x14ac:dyDescent="0.2">
      <c r="A31" s="1" t="s">
        <v>2680</v>
      </c>
    </row>
    <row r="32" spans="1:8" x14ac:dyDescent="0.2">
      <c r="A32" s="1" t="s">
        <v>2681</v>
      </c>
    </row>
    <row r="34" spans="1:6" ht="17" thickBot="1" x14ac:dyDescent="0.25">
      <c r="A34" s="1" t="s">
        <v>2682</v>
      </c>
    </row>
    <row r="35" spans="1:6" x14ac:dyDescent="0.2">
      <c r="B35" s="1" t="s">
        <v>35</v>
      </c>
      <c r="C35" s="1" t="s">
        <v>274</v>
      </c>
      <c r="D35" s="1" t="s">
        <v>203</v>
      </c>
      <c r="E35" s="505" t="s">
        <v>460</v>
      </c>
      <c r="F35" s="1" t="s">
        <v>206</v>
      </c>
    </row>
    <row r="36" spans="1:6" x14ac:dyDescent="0.2">
      <c r="B36" s="1">
        <v>0</v>
      </c>
      <c r="C36" s="27"/>
      <c r="D36" s="27"/>
      <c r="E36" s="506"/>
      <c r="F36" s="1">
        <v>100</v>
      </c>
    </row>
    <row r="37" spans="1:6" x14ac:dyDescent="0.2">
      <c r="B37" s="1">
        <v>1</v>
      </c>
      <c r="C37" s="1">
        <v>0</v>
      </c>
      <c r="D37" s="1">
        <f>4%*F36</f>
        <v>4</v>
      </c>
      <c r="E37" s="506">
        <f>C37+D37</f>
        <v>4</v>
      </c>
      <c r="F37" s="1">
        <f>F36-C37</f>
        <v>100</v>
      </c>
    </row>
    <row r="38" spans="1:6" x14ac:dyDescent="0.2">
      <c r="B38" s="1">
        <v>2</v>
      </c>
      <c r="C38" s="1">
        <v>0</v>
      </c>
      <c r="D38" s="1">
        <f t="shared" ref="D38:D43" si="0">4%*F37</f>
        <v>4</v>
      </c>
      <c r="E38" s="506">
        <f t="shared" ref="E38:E43" si="1">C38+D38</f>
        <v>4</v>
      </c>
      <c r="F38" s="1">
        <f t="shared" ref="F38:F43" si="2">F37-C38</f>
        <v>100</v>
      </c>
    </row>
    <row r="39" spans="1:6" x14ac:dyDescent="0.2">
      <c r="B39" s="1">
        <v>3</v>
      </c>
      <c r="C39" s="1">
        <v>0</v>
      </c>
      <c r="D39" s="1">
        <f t="shared" si="0"/>
        <v>4</v>
      </c>
      <c r="E39" s="506">
        <f t="shared" si="1"/>
        <v>4</v>
      </c>
      <c r="F39" s="1">
        <f t="shared" si="2"/>
        <v>100</v>
      </c>
    </row>
    <row r="40" spans="1:6" x14ac:dyDescent="0.2">
      <c r="B40" s="1">
        <v>4</v>
      </c>
      <c r="C40" s="1">
        <v>0</v>
      </c>
      <c r="D40" s="1">
        <f t="shared" si="0"/>
        <v>4</v>
      </c>
      <c r="E40" s="506">
        <f t="shared" si="1"/>
        <v>4</v>
      </c>
      <c r="F40" s="1">
        <f t="shared" si="2"/>
        <v>100</v>
      </c>
    </row>
    <row r="41" spans="1:6" x14ac:dyDescent="0.2">
      <c r="B41" s="1">
        <v>5</v>
      </c>
      <c r="C41" s="1">
        <v>0</v>
      </c>
      <c r="D41" s="1">
        <f t="shared" si="0"/>
        <v>4</v>
      </c>
      <c r="E41" s="506">
        <f t="shared" si="1"/>
        <v>4</v>
      </c>
      <c r="F41" s="1">
        <f t="shared" si="2"/>
        <v>100</v>
      </c>
    </row>
    <row r="42" spans="1:6" x14ac:dyDescent="0.2">
      <c r="B42" s="1">
        <v>6</v>
      </c>
      <c r="C42" s="1">
        <v>0</v>
      </c>
      <c r="D42" s="1">
        <f t="shared" si="0"/>
        <v>4</v>
      </c>
      <c r="E42" s="506">
        <f t="shared" si="1"/>
        <v>4</v>
      </c>
      <c r="F42" s="1">
        <f t="shared" si="2"/>
        <v>100</v>
      </c>
    </row>
    <row r="43" spans="1:6" ht="17" thickBot="1" x14ac:dyDescent="0.25">
      <c r="B43" s="1">
        <v>7</v>
      </c>
      <c r="C43" s="1">
        <v>100</v>
      </c>
      <c r="D43" s="1">
        <f t="shared" si="0"/>
        <v>4</v>
      </c>
      <c r="E43" s="507">
        <f t="shared" si="1"/>
        <v>104</v>
      </c>
      <c r="F43" s="1">
        <f t="shared" si="2"/>
        <v>0</v>
      </c>
    </row>
    <row r="45" spans="1:6" x14ac:dyDescent="0.2">
      <c r="C45" s="43" t="s">
        <v>3459</v>
      </c>
      <c r="E45" s="43">
        <v>2.5000000000000001E-2</v>
      </c>
      <c r="F45" s="1" t="s">
        <v>335</v>
      </c>
    </row>
    <row r="46" spans="1:6" x14ac:dyDescent="0.2">
      <c r="C46" s="43" t="s">
        <v>3466</v>
      </c>
      <c r="E46" s="508">
        <f>NPV(E45,E37:E43)</f>
        <v>109.52408589499491</v>
      </c>
      <c r="F46" s="1" t="s">
        <v>1849</v>
      </c>
    </row>
    <row r="47" spans="1:6" x14ac:dyDescent="0.2">
      <c r="C47" s="122"/>
    </row>
    <row r="48" spans="1:6" x14ac:dyDescent="0.2">
      <c r="A48" s="1" t="s">
        <v>3460</v>
      </c>
      <c r="C48" s="122"/>
    </row>
    <row r="49" spans="1:8" x14ac:dyDescent="0.2">
      <c r="A49" s="1" t="s">
        <v>3461</v>
      </c>
      <c r="C49" s="122"/>
    </row>
    <row r="50" spans="1:8" x14ac:dyDescent="0.2">
      <c r="C50" s="122"/>
    </row>
    <row r="51" spans="1:8" x14ac:dyDescent="0.2">
      <c r="A51" s="1" t="s">
        <v>3462</v>
      </c>
      <c r="C51" s="122"/>
    </row>
    <row r="52" spans="1:8" x14ac:dyDescent="0.2">
      <c r="A52" s="1" t="s">
        <v>3463</v>
      </c>
      <c r="C52" s="122"/>
    </row>
    <row r="53" spans="1:8" x14ac:dyDescent="0.2">
      <c r="A53" s="1" t="s">
        <v>3464</v>
      </c>
      <c r="C53" s="122"/>
    </row>
    <row r="54" spans="1:8" x14ac:dyDescent="0.2">
      <c r="A54" s="1" t="s">
        <v>3465</v>
      </c>
      <c r="C54" s="122"/>
    </row>
    <row r="55" spans="1:8" x14ac:dyDescent="0.2">
      <c r="C55" s="122"/>
    </row>
    <row r="56" spans="1:8" x14ac:dyDescent="0.2">
      <c r="A56" s="4" t="s">
        <v>3467</v>
      </c>
    </row>
    <row r="57" spans="1:8" x14ac:dyDescent="0.2">
      <c r="A57" s="1" t="s">
        <v>2686</v>
      </c>
    </row>
    <row r="58" spans="1:8" x14ac:dyDescent="0.2">
      <c r="A58" s="1" t="s">
        <v>2687</v>
      </c>
    </row>
    <row r="59" spans="1:8" ht="17" thickBot="1" x14ac:dyDescent="0.25"/>
    <row r="60" spans="1:8" x14ac:dyDescent="0.2">
      <c r="C60" s="582" t="s">
        <v>2689</v>
      </c>
      <c r="D60" s="583"/>
      <c r="E60" s="586" t="s">
        <v>2691</v>
      </c>
      <c r="F60" s="586"/>
      <c r="G60" s="588" t="s">
        <v>2688</v>
      </c>
      <c r="H60" s="589"/>
    </row>
    <row r="61" spans="1:8" ht="17" thickBot="1" x14ac:dyDescent="0.25">
      <c r="C61" s="584" t="s">
        <v>2690</v>
      </c>
      <c r="D61" s="585"/>
      <c r="E61" s="587"/>
      <c r="F61" s="587"/>
      <c r="G61" s="590"/>
      <c r="H61" s="591"/>
    </row>
    <row r="62" spans="1:8" x14ac:dyDescent="0.2">
      <c r="A62" s="13"/>
    </row>
    <row r="63" spans="1:8" x14ac:dyDescent="0.2">
      <c r="A63" s="8" t="s">
        <v>2692</v>
      </c>
      <c r="B63" s="8"/>
      <c r="C63" s="173">
        <f>E46*112/106</f>
        <v>115.72356245508897</v>
      </c>
      <c r="D63" s="8"/>
      <c r="E63" s="8"/>
      <c r="F63" s="8" t="s">
        <v>2798</v>
      </c>
      <c r="G63" s="8" t="s">
        <v>2722</v>
      </c>
      <c r="H63" s="8"/>
    </row>
    <row r="64" spans="1:8" x14ac:dyDescent="0.2">
      <c r="A64" s="8"/>
      <c r="B64" s="8"/>
      <c r="C64" s="8"/>
      <c r="D64" s="8"/>
      <c r="E64" s="8"/>
      <c r="F64" s="8"/>
      <c r="G64" s="8"/>
      <c r="H64" s="8"/>
    </row>
    <row r="65" spans="1:8" x14ac:dyDescent="0.2">
      <c r="A65" s="8"/>
      <c r="B65" s="8"/>
      <c r="C65" s="8"/>
      <c r="D65" s="8" t="s">
        <v>3471</v>
      </c>
      <c r="E65" s="8"/>
      <c r="F65" s="8" t="s">
        <v>3468</v>
      </c>
      <c r="G65" s="8"/>
      <c r="H65" s="8"/>
    </row>
    <row r="66" spans="1:8" x14ac:dyDescent="0.2">
      <c r="A66" s="8"/>
      <c r="B66" s="8"/>
      <c r="C66" s="8"/>
      <c r="D66" s="8" t="s">
        <v>3472</v>
      </c>
      <c r="E66" s="8"/>
      <c r="F66" s="8" t="s">
        <v>3469</v>
      </c>
      <c r="G66" s="8"/>
      <c r="H66" s="8"/>
    </row>
    <row r="67" spans="1:8" x14ac:dyDescent="0.2">
      <c r="A67" s="8"/>
      <c r="B67" s="8"/>
      <c r="C67" s="8"/>
      <c r="D67" s="8" t="s">
        <v>3473</v>
      </c>
      <c r="E67" s="8"/>
      <c r="F67" s="8" t="s">
        <v>3470</v>
      </c>
      <c r="G67" s="8"/>
      <c r="H67" s="8"/>
    </row>
    <row r="68" spans="1:8" x14ac:dyDescent="0.2">
      <c r="A68" s="8"/>
      <c r="B68" s="8"/>
      <c r="C68" s="8"/>
      <c r="D68" s="8" t="s">
        <v>3474</v>
      </c>
      <c r="E68" s="8"/>
      <c r="F68" s="8"/>
      <c r="G68" s="8"/>
      <c r="H68" s="8"/>
    </row>
    <row r="69" spans="1:8" x14ac:dyDescent="0.2">
      <c r="A69" s="8"/>
      <c r="B69" s="8"/>
      <c r="C69" s="8"/>
      <c r="D69" s="8" t="s">
        <v>3475</v>
      </c>
      <c r="E69" s="8"/>
      <c r="F69" s="8"/>
      <c r="G69" s="8"/>
      <c r="H69" s="8"/>
    </row>
    <row r="70" spans="1:8" x14ac:dyDescent="0.2">
      <c r="A70" s="8"/>
      <c r="B70" s="8"/>
      <c r="C70" s="8"/>
      <c r="D70" s="8"/>
      <c r="E70" s="8"/>
      <c r="F70" s="8"/>
      <c r="G70" s="8"/>
      <c r="H70" s="8"/>
    </row>
    <row r="71" spans="1:8" x14ac:dyDescent="0.2">
      <c r="A71" s="14" t="s">
        <v>2799</v>
      </c>
      <c r="B71" s="8"/>
      <c r="C71" s="8"/>
      <c r="D71" s="8"/>
      <c r="E71" s="8"/>
      <c r="F71" s="8"/>
      <c r="G71" s="8"/>
      <c r="H71" s="8"/>
    </row>
    <row r="72" spans="1:8" ht="17" thickBot="1" x14ac:dyDescent="0.25">
      <c r="A72" s="8"/>
      <c r="B72" s="8"/>
      <c r="C72" s="8"/>
      <c r="D72" s="8"/>
      <c r="E72" s="8"/>
      <c r="F72" s="8"/>
      <c r="G72" s="8"/>
      <c r="H72" s="8"/>
    </row>
    <row r="73" spans="1:8" x14ac:dyDescent="0.2">
      <c r="A73" s="102" t="s">
        <v>2713</v>
      </c>
      <c r="B73" s="411"/>
      <c r="C73" s="411"/>
      <c r="D73" s="411"/>
      <c r="E73" s="411"/>
      <c r="F73" s="411"/>
      <c r="G73" s="411"/>
      <c r="H73" s="412"/>
    </row>
    <row r="74" spans="1:8" x14ac:dyDescent="0.2">
      <c r="A74" s="103" t="s">
        <v>2714</v>
      </c>
      <c r="B74" s="14"/>
      <c r="C74" s="14"/>
      <c r="D74" s="14"/>
      <c r="E74" s="14"/>
      <c r="F74" s="14"/>
      <c r="G74" s="14"/>
      <c r="H74" s="375"/>
    </row>
    <row r="75" spans="1:8" x14ac:dyDescent="0.2">
      <c r="A75" s="103" t="s">
        <v>2715</v>
      </c>
      <c r="B75" s="14"/>
      <c r="C75" s="14"/>
      <c r="D75" s="14"/>
      <c r="E75" s="14"/>
      <c r="F75" s="14"/>
      <c r="G75" s="14"/>
      <c r="H75" s="375"/>
    </row>
    <row r="76" spans="1:8" x14ac:dyDescent="0.2">
      <c r="A76" s="103"/>
      <c r="B76" s="14"/>
      <c r="C76" s="14"/>
      <c r="D76" s="14"/>
      <c r="E76" s="593">
        <v>-1</v>
      </c>
      <c r="F76" s="410" t="s">
        <v>2716</v>
      </c>
      <c r="G76" s="593" t="s">
        <v>2720</v>
      </c>
      <c r="H76" s="375" t="s">
        <v>2718</v>
      </c>
    </row>
    <row r="77" spans="1:8" x14ac:dyDescent="0.2">
      <c r="A77" s="103"/>
      <c r="B77" s="14"/>
      <c r="C77" s="14"/>
      <c r="D77" s="14"/>
      <c r="E77" s="593"/>
      <c r="F77" s="414" t="s">
        <v>2717</v>
      </c>
      <c r="G77" s="593"/>
      <c r="H77" s="375" t="s">
        <v>2719</v>
      </c>
    </row>
    <row r="78" spans="1:8" x14ac:dyDescent="0.2">
      <c r="A78" s="103"/>
      <c r="B78" s="14"/>
      <c r="C78" s="14"/>
      <c r="D78" s="14"/>
      <c r="E78" s="413"/>
      <c r="F78" s="414"/>
      <c r="G78" s="413"/>
      <c r="H78" s="375"/>
    </row>
    <row r="79" spans="1:8" x14ac:dyDescent="0.2">
      <c r="A79" s="31" t="s">
        <v>2800</v>
      </c>
      <c r="B79" s="14"/>
      <c r="C79" s="14"/>
      <c r="D79" s="14"/>
      <c r="E79" s="424">
        <f>112/106-1</f>
        <v>5.6603773584905648E-2</v>
      </c>
      <c r="F79" s="62" t="s">
        <v>2801</v>
      </c>
      <c r="G79" s="409" t="s">
        <v>2720</v>
      </c>
      <c r="H79" s="32" t="s">
        <v>2718</v>
      </c>
    </row>
    <row r="80" spans="1:8" x14ac:dyDescent="0.2">
      <c r="A80" s="103"/>
      <c r="B80" s="14"/>
      <c r="C80" s="14"/>
      <c r="D80" s="14"/>
      <c r="E80" s="413"/>
      <c r="F80" s="414"/>
      <c r="G80" s="413"/>
      <c r="H80" s="375"/>
    </row>
    <row r="81" spans="1:10" x14ac:dyDescent="0.2">
      <c r="A81" s="103" t="s">
        <v>2721</v>
      </c>
      <c r="B81" s="14"/>
      <c r="C81" s="14"/>
      <c r="D81" s="14"/>
      <c r="E81" s="14"/>
      <c r="F81" s="14"/>
      <c r="G81" s="14"/>
      <c r="H81" s="375"/>
    </row>
    <row r="82" spans="1:10" x14ac:dyDescent="0.2">
      <c r="A82" s="103"/>
      <c r="B82" s="14"/>
      <c r="C82" s="14"/>
      <c r="D82" s="14" t="s">
        <v>2723</v>
      </c>
      <c r="E82" s="14"/>
      <c r="F82" s="14" t="s">
        <v>2726</v>
      </c>
      <c r="G82" s="14" t="s">
        <v>2722</v>
      </c>
      <c r="H82" s="375"/>
    </row>
    <row r="83" spans="1:10" x14ac:dyDescent="0.2">
      <c r="A83" s="103"/>
      <c r="B83" s="14"/>
      <c r="C83" s="14"/>
      <c r="D83" s="14"/>
      <c r="E83" s="14"/>
      <c r="F83" s="14"/>
      <c r="G83" s="14"/>
      <c r="H83" s="375"/>
    </row>
    <row r="84" spans="1:10" x14ac:dyDescent="0.2">
      <c r="A84" s="31" t="s">
        <v>2802</v>
      </c>
      <c r="B84" s="14"/>
      <c r="C84" s="14"/>
      <c r="D84" s="425">
        <f>C63</f>
        <v>115.72356245508897</v>
      </c>
      <c r="E84" s="14"/>
      <c r="F84" s="8" t="s">
        <v>2803</v>
      </c>
      <c r="G84" s="8" t="s">
        <v>2688</v>
      </c>
      <c r="H84" s="375"/>
    </row>
    <row r="85" spans="1:10" x14ac:dyDescent="0.2">
      <c r="A85" s="103"/>
      <c r="B85" s="14"/>
      <c r="C85" s="14"/>
      <c r="D85" s="14"/>
      <c r="E85" s="14"/>
      <c r="F85" s="14"/>
      <c r="G85" s="14"/>
      <c r="H85" s="375"/>
    </row>
    <row r="86" spans="1:10" x14ac:dyDescent="0.2">
      <c r="A86" s="103" t="s">
        <v>2724</v>
      </c>
      <c r="B86" s="14"/>
      <c r="C86" s="14"/>
      <c r="D86" s="14"/>
      <c r="E86" s="14"/>
      <c r="F86" s="14"/>
      <c r="G86" s="14"/>
      <c r="H86" s="375"/>
    </row>
    <row r="87" spans="1:10" ht="17" thickBot="1" x14ac:dyDescent="0.25">
      <c r="A87" s="104" t="s">
        <v>2725</v>
      </c>
      <c r="B87" s="415"/>
      <c r="C87" s="415"/>
      <c r="D87" s="415"/>
      <c r="E87" s="415"/>
      <c r="F87" s="415"/>
      <c r="G87" s="415"/>
      <c r="H87" s="384"/>
    </row>
    <row r="88" spans="1:10" x14ac:dyDescent="0.2">
      <c r="A88" s="8"/>
      <c r="B88" s="8"/>
      <c r="C88" s="8"/>
      <c r="D88" s="8"/>
      <c r="E88" s="8"/>
      <c r="F88" s="8"/>
      <c r="G88" s="8"/>
      <c r="H88" s="8"/>
    </row>
    <row r="89" spans="1:10" ht="17" thickBot="1" x14ac:dyDescent="0.25">
      <c r="A89" s="81" t="s">
        <v>2698</v>
      </c>
      <c r="B89" s="38"/>
      <c r="C89" s="38"/>
      <c r="D89" s="38"/>
      <c r="E89" s="38"/>
      <c r="F89" s="38"/>
      <c r="G89" s="38"/>
      <c r="H89" s="38"/>
    </row>
    <row r="90" spans="1:10" x14ac:dyDescent="0.2">
      <c r="A90" s="8" t="s">
        <v>2694</v>
      </c>
      <c r="B90" s="8"/>
      <c r="C90" s="8"/>
      <c r="D90" s="8"/>
      <c r="E90" s="8"/>
      <c r="F90" s="8"/>
      <c r="G90" s="8"/>
      <c r="H90" s="358" t="s">
        <v>3481</v>
      </c>
      <c r="I90" s="17"/>
      <c r="J90" s="18"/>
    </row>
    <row r="91" spans="1:10" x14ac:dyDescent="0.2">
      <c r="A91" s="8" t="s">
        <v>2695</v>
      </c>
      <c r="B91" s="8"/>
      <c r="C91" s="8"/>
      <c r="D91" s="8"/>
      <c r="E91" s="8"/>
      <c r="F91" s="8"/>
      <c r="G91" s="8"/>
      <c r="H91" s="31" t="s">
        <v>3482</v>
      </c>
      <c r="J91" s="20"/>
    </row>
    <row r="92" spans="1:10" ht="17" thickBot="1" x14ac:dyDescent="0.25">
      <c r="A92" s="8" t="s">
        <v>2696</v>
      </c>
      <c r="H92" s="21" t="s">
        <v>3483</v>
      </c>
      <c r="I92" s="22"/>
      <c r="J92" s="23"/>
    </row>
    <row r="93" spans="1:10" x14ac:dyDescent="0.2">
      <c r="A93" s="8" t="s">
        <v>2697</v>
      </c>
    </row>
    <row r="94" spans="1:10" x14ac:dyDescent="0.2">
      <c r="A94" s="8" t="s">
        <v>450</v>
      </c>
    </row>
    <row r="95" spans="1:10" x14ac:dyDescent="0.2">
      <c r="A95" s="13"/>
    </row>
    <row r="96" spans="1:10" s="8" customFormat="1" x14ac:dyDescent="0.2">
      <c r="A96" s="8" t="s">
        <v>198</v>
      </c>
    </row>
    <row r="97" spans="1:7" s="8" customFormat="1" x14ac:dyDescent="0.2"/>
    <row r="98" spans="1:7" s="8" customFormat="1" x14ac:dyDescent="0.2">
      <c r="A98" s="8" t="s">
        <v>3476</v>
      </c>
      <c r="B98" s="8" t="s">
        <v>3477</v>
      </c>
    </row>
    <row r="99" spans="1:7" s="8" customFormat="1" x14ac:dyDescent="0.2">
      <c r="B99" s="8" t="s">
        <v>3478</v>
      </c>
    </row>
    <row r="100" spans="1:7" s="8" customFormat="1" x14ac:dyDescent="0.2">
      <c r="B100" s="8" t="s">
        <v>3479</v>
      </c>
    </row>
    <row r="101" spans="1:7" s="8" customFormat="1" x14ac:dyDescent="0.2"/>
    <row r="102" spans="1:7" s="8" customFormat="1" x14ac:dyDescent="0.2">
      <c r="B102" s="8" t="s">
        <v>35</v>
      </c>
      <c r="C102" s="8" t="s">
        <v>3480</v>
      </c>
      <c r="D102" s="8" t="s">
        <v>203</v>
      </c>
      <c r="E102" s="8" t="s">
        <v>3336</v>
      </c>
      <c r="F102" s="8" t="s">
        <v>206</v>
      </c>
    </row>
    <row r="103" spans="1:7" s="8" customFormat="1" x14ac:dyDescent="0.2">
      <c r="B103" s="8">
        <v>0</v>
      </c>
      <c r="C103" s="106"/>
      <c r="D103" s="106"/>
      <c r="E103" s="106"/>
      <c r="F103" s="8">
        <v>100</v>
      </c>
    </row>
    <row r="104" spans="1:7" s="8" customFormat="1" x14ac:dyDescent="0.2">
      <c r="B104" s="8">
        <v>1</v>
      </c>
      <c r="C104" s="8">
        <v>0</v>
      </c>
      <c r="D104" s="8">
        <f>5%*F103</f>
        <v>5</v>
      </c>
      <c r="E104" s="8">
        <f>C104+D104</f>
        <v>5</v>
      </c>
      <c r="F104" s="8">
        <f>F103-C104</f>
        <v>100</v>
      </c>
    </row>
    <row r="105" spans="1:7" s="8" customFormat="1" x14ac:dyDescent="0.2">
      <c r="B105" s="8">
        <v>2</v>
      </c>
      <c r="C105" s="8">
        <v>0</v>
      </c>
      <c r="D105" s="8">
        <f>5%*F104</f>
        <v>5</v>
      </c>
      <c r="E105" s="8">
        <f>C105+D105</f>
        <v>5</v>
      </c>
      <c r="F105" s="8">
        <f>F104-C105</f>
        <v>100</v>
      </c>
    </row>
    <row r="106" spans="1:7" s="8" customFormat="1" x14ac:dyDescent="0.2">
      <c r="B106" s="8">
        <v>3</v>
      </c>
      <c r="C106" s="8">
        <v>0</v>
      </c>
      <c r="D106" s="8">
        <f>5%*F105</f>
        <v>5</v>
      </c>
      <c r="E106" s="8">
        <f>C106+D106</f>
        <v>5</v>
      </c>
      <c r="F106" s="8">
        <f>F105-C106</f>
        <v>100</v>
      </c>
    </row>
    <row r="107" spans="1:7" s="8" customFormat="1" x14ac:dyDescent="0.2">
      <c r="B107" s="8">
        <v>4</v>
      </c>
      <c r="C107" s="8">
        <v>0</v>
      </c>
      <c r="D107" s="8">
        <f>5%*F106</f>
        <v>5</v>
      </c>
      <c r="E107" s="8">
        <f>C107+D107</f>
        <v>5</v>
      </c>
      <c r="F107" s="8">
        <f>F106-C107</f>
        <v>100</v>
      </c>
    </row>
    <row r="108" spans="1:7" s="8" customFormat="1" x14ac:dyDescent="0.2">
      <c r="B108" s="8">
        <v>5</v>
      </c>
      <c r="C108" s="8">
        <f>F103</f>
        <v>100</v>
      </c>
      <c r="D108" s="8">
        <f>5%*F107</f>
        <v>5</v>
      </c>
      <c r="E108" s="8">
        <f>C108+D108</f>
        <v>105</v>
      </c>
      <c r="F108" s="8">
        <f>F107-C108</f>
        <v>0</v>
      </c>
    </row>
    <row r="109" spans="1:7" s="8" customFormat="1" x14ac:dyDescent="0.2"/>
    <row r="110" spans="1:7" s="8" customFormat="1" x14ac:dyDescent="0.2">
      <c r="C110" s="8" t="s">
        <v>3459</v>
      </c>
      <c r="E110" s="9">
        <v>0.03</v>
      </c>
      <c r="G110" s="8" t="s">
        <v>117</v>
      </c>
    </row>
    <row r="111" spans="1:7" s="8" customFormat="1" ht="17" thickBot="1" x14ac:dyDescent="0.25">
      <c r="C111" s="8" t="s">
        <v>3485</v>
      </c>
      <c r="E111" s="123">
        <f>NPV(E110,E104:E108)</f>
        <v>109.15941437438906</v>
      </c>
      <c r="G111" s="8" t="s">
        <v>3484</v>
      </c>
    </row>
    <row r="112" spans="1:7" s="8" customFormat="1" ht="17" thickBot="1" x14ac:dyDescent="0.25">
      <c r="C112" s="8" t="s">
        <v>3486</v>
      </c>
      <c r="E112" s="509">
        <f>E111*109/102</f>
        <v>116.65074673341576</v>
      </c>
      <c r="G112" s="8" t="s">
        <v>2804</v>
      </c>
    </row>
    <row r="113" spans="1:8" s="8" customFormat="1" x14ac:dyDescent="0.2"/>
    <row r="114" spans="1:8" x14ac:dyDescent="0.2">
      <c r="A114" s="81" t="s">
        <v>2699</v>
      </c>
      <c r="B114" s="38"/>
      <c r="C114" s="38"/>
      <c r="D114" s="38"/>
      <c r="E114" s="38"/>
      <c r="F114" s="38"/>
      <c r="G114" s="38"/>
      <c r="H114" s="38"/>
    </row>
    <row r="115" spans="1:8" x14ac:dyDescent="0.2">
      <c r="A115" s="1" t="s">
        <v>451</v>
      </c>
    </row>
    <row r="116" spans="1:8" x14ac:dyDescent="0.2">
      <c r="A116" s="1" t="s">
        <v>452</v>
      </c>
    </row>
    <row r="117" spans="1:8" x14ac:dyDescent="0.2">
      <c r="A117" s="1" t="s">
        <v>453</v>
      </c>
    </row>
    <row r="118" spans="1:8" x14ac:dyDescent="0.2">
      <c r="A118" s="1" t="s">
        <v>3487</v>
      </c>
      <c r="D118" s="13"/>
    </row>
    <row r="119" spans="1:8" x14ac:dyDescent="0.2">
      <c r="D119" s="13"/>
    </row>
    <row r="120" spans="1:8" x14ac:dyDescent="0.2">
      <c r="A120" s="1" t="s">
        <v>198</v>
      </c>
      <c r="D120" s="13"/>
      <c r="G120" s="1" t="s">
        <v>3488</v>
      </c>
    </row>
    <row r="121" spans="1:8" x14ac:dyDescent="0.2">
      <c r="D121" s="13"/>
      <c r="E121" s="1" t="s">
        <v>3490</v>
      </c>
      <c r="G121" s="1" t="s">
        <v>3489</v>
      </c>
    </row>
    <row r="122" spans="1:8" x14ac:dyDescent="0.2">
      <c r="B122" s="1" t="s">
        <v>35</v>
      </c>
      <c r="C122" s="1" t="s">
        <v>3480</v>
      </c>
      <c r="D122" s="1" t="s">
        <v>203</v>
      </c>
      <c r="E122" s="1" t="s">
        <v>460</v>
      </c>
      <c r="F122" s="1" t="s">
        <v>206</v>
      </c>
    </row>
    <row r="123" spans="1:8" x14ac:dyDescent="0.2">
      <c r="B123" s="1">
        <v>0</v>
      </c>
      <c r="C123" s="27"/>
      <c r="D123" s="510"/>
      <c r="E123" s="122">
        <f>-95*99/103</f>
        <v>-91.310679611650485</v>
      </c>
      <c r="F123" s="1">
        <v>100</v>
      </c>
    </row>
    <row r="124" spans="1:8" x14ac:dyDescent="0.2">
      <c r="B124" s="1">
        <v>1</v>
      </c>
      <c r="C124" s="1">
        <v>0</v>
      </c>
      <c r="D124" s="1">
        <f>6%*F123</f>
        <v>6</v>
      </c>
      <c r="E124" s="1">
        <f>C124+D124</f>
        <v>6</v>
      </c>
      <c r="F124" s="1">
        <f>F123-C124</f>
        <v>100</v>
      </c>
    </row>
    <row r="125" spans="1:8" x14ac:dyDescent="0.2">
      <c r="B125" s="1">
        <v>2</v>
      </c>
      <c r="C125" s="1">
        <v>0</v>
      </c>
      <c r="D125" s="1">
        <f>6%*F124</f>
        <v>6</v>
      </c>
      <c r="E125" s="1">
        <f>C125+D125</f>
        <v>6</v>
      </c>
      <c r="F125" s="1">
        <f>F124-C125</f>
        <v>100</v>
      </c>
    </row>
    <row r="126" spans="1:8" x14ac:dyDescent="0.2">
      <c r="B126" s="1">
        <v>3</v>
      </c>
      <c r="C126" s="1">
        <v>0</v>
      </c>
      <c r="D126" s="1">
        <f>6%*F125</f>
        <v>6</v>
      </c>
      <c r="E126" s="1">
        <f>C126+D126</f>
        <v>6</v>
      </c>
      <c r="F126" s="1">
        <f>F125-C126</f>
        <v>100</v>
      </c>
    </row>
    <row r="127" spans="1:8" x14ac:dyDescent="0.2">
      <c r="B127" s="1">
        <v>4</v>
      </c>
      <c r="C127" s="1">
        <v>0</v>
      </c>
      <c r="D127" s="1">
        <f>6%*F126</f>
        <v>6</v>
      </c>
      <c r="E127" s="1">
        <f>C127+D127</f>
        <v>6</v>
      </c>
      <c r="F127" s="1">
        <f>F126-C127</f>
        <v>100</v>
      </c>
    </row>
    <row r="128" spans="1:8" x14ac:dyDescent="0.2">
      <c r="B128" s="1">
        <v>5</v>
      </c>
      <c r="C128" s="1">
        <f>F123</f>
        <v>100</v>
      </c>
      <c r="D128" s="1">
        <f>6%*F127</f>
        <v>6</v>
      </c>
      <c r="E128" s="1">
        <f>C128+D128</f>
        <v>106</v>
      </c>
      <c r="F128" s="1">
        <f>F127-C128</f>
        <v>0</v>
      </c>
    </row>
    <row r="129" spans="1:8" x14ac:dyDescent="0.2">
      <c r="D129" s="13"/>
    </row>
    <row r="130" spans="1:8" x14ac:dyDescent="0.2">
      <c r="B130" s="1" t="s">
        <v>3491</v>
      </c>
      <c r="D130" s="13"/>
      <c r="E130" s="511">
        <f>IRR(E123:E128)</f>
        <v>8.1870351814278486E-2</v>
      </c>
    </row>
    <row r="131" spans="1:8" x14ac:dyDescent="0.2">
      <c r="D131" s="13"/>
    </row>
    <row r="132" spans="1:8" x14ac:dyDescent="0.2">
      <c r="D132" s="13"/>
    </row>
    <row r="133" spans="1:8" x14ac:dyDescent="0.2">
      <c r="A133" s="472" t="s">
        <v>3493</v>
      </c>
    </row>
    <row r="134" spans="1:8" x14ac:dyDescent="0.2">
      <c r="A134" s="1" t="s">
        <v>2805</v>
      </c>
    </row>
    <row r="135" spans="1:8" x14ac:dyDescent="0.2">
      <c r="A135" s="1" t="s">
        <v>2701</v>
      </c>
    </row>
    <row r="136" spans="1:8" x14ac:dyDescent="0.2">
      <c r="A136" s="1" t="s">
        <v>2702</v>
      </c>
    </row>
    <row r="137" spans="1:8" x14ac:dyDescent="0.2">
      <c r="A137" s="1" t="s">
        <v>2703</v>
      </c>
    </row>
    <row r="139" spans="1:8" x14ac:dyDescent="0.2">
      <c r="A139" s="4" t="s">
        <v>2705</v>
      </c>
    </row>
    <row r="140" spans="1:8" x14ac:dyDescent="0.2">
      <c r="A140" s="1" t="s">
        <v>2706</v>
      </c>
    </row>
    <row r="141" spans="1:8" x14ac:dyDescent="0.2">
      <c r="A141" s="1" t="s">
        <v>2806</v>
      </c>
    </row>
    <row r="142" spans="1:8" ht="17" thickBot="1" x14ac:dyDescent="0.25"/>
    <row r="143" spans="1:8" x14ac:dyDescent="0.2">
      <c r="C143" s="582" t="s">
        <v>2690</v>
      </c>
      <c r="D143" s="583"/>
      <c r="E143" s="586" t="s">
        <v>2708</v>
      </c>
      <c r="F143" s="586"/>
      <c r="G143" s="588" t="s">
        <v>2707</v>
      </c>
      <c r="H143" s="589"/>
    </row>
    <row r="144" spans="1:8" ht="17" thickBot="1" x14ac:dyDescent="0.25">
      <c r="C144" s="584" t="s">
        <v>2689</v>
      </c>
      <c r="D144" s="585"/>
      <c r="E144" s="587"/>
      <c r="F144" s="587"/>
      <c r="G144" s="590"/>
      <c r="H144" s="591"/>
    </row>
    <row r="145" spans="1:7" x14ac:dyDescent="0.2">
      <c r="E145" s="1" t="s">
        <v>3492</v>
      </c>
    </row>
    <row r="146" spans="1:7" x14ac:dyDescent="0.2">
      <c r="A146" s="1" t="s">
        <v>2709</v>
      </c>
    </row>
    <row r="147" spans="1:7" x14ac:dyDescent="0.2">
      <c r="A147" s="1" t="s">
        <v>2808</v>
      </c>
      <c r="D147" s="161">
        <f>95*99/103</f>
        <v>91.310679611650485</v>
      </c>
      <c r="F147" s="1" t="s">
        <v>2807</v>
      </c>
      <c r="G147" s="1" t="s">
        <v>2707</v>
      </c>
    </row>
    <row r="149" spans="1:7" x14ac:dyDescent="0.2">
      <c r="A149" s="1" t="s">
        <v>2809</v>
      </c>
    </row>
    <row r="152" spans="1:7" x14ac:dyDescent="0.2">
      <c r="A152" s="4" t="s">
        <v>2710</v>
      </c>
    </row>
    <row r="153" spans="1:7" x14ac:dyDescent="0.2">
      <c r="A153" s="1" t="s">
        <v>2704</v>
      </c>
    </row>
    <row r="154" spans="1:7" x14ac:dyDescent="0.2">
      <c r="A154" s="1" t="s">
        <v>2711</v>
      </c>
    </row>
    <row r="156" spans="1:7" x14ac:dyDescent="0.2">
      <c r="C156" s="1" t="s">
        <v>35</v>
      </c>
      <c r="D156" s="1" t="s">
        <v>52</v>
      </c>
    </row>
    <row r="157" spans="1:7" x14ac:dyDescent="0.2">
      <c r="C157" s="1">
        <v>0</v>
      </c>
      <c r="D157" s="161">
        <f>-D147</f>
        <v>-91.310679611650485</v>
      </c>
    </row>
    <row r="158" spans="1:7" x14ac:dyDescent="0.2">
      <c r="C158" s="1">
        <v>1</v>
      </c>
      <c r="D158" s="1">
        <v>6</v>
      </c>
    </row>
    <row r="159" spans="1:7" x14ac:dyDescent="0.2">
      <c r="C159" s="1">
        <v>2</v>
      </c>
      <c r="D159" s="1">
        <v>6</v>
      </c>
    </row>
    <row r="160" spans="1:7" x14ac:dyDescent="0.2">
      <c r="C160" s="1">
        <v>3</v>
      </c>
      <c r="D160" s="1">
        <v>6</v>
      </c>
    </row>
    <row r="161" spans="1:8" x14ac:dyDescent="0.2">
      <c r="C161" s="1">
        <v>4</v>
      </c>
      <c r="D161" s="1">
        <v>6</v>
      </c>
    </row>
    <row r="162" spans="1:8" x14ac:dyDescent="0.2">
      <c r="C162" s="1">
        <v>5</v>
      </c>
      <c r="D162" s="1">
        <v>106</v>
      </c>
    </row>
    <row r="164" spans="1:8" x14ac:dyDescent="0.2">
      <c r="A164" s="1" t="s">
        <v>2712</v>
      </c>
      <c r="D164" s="426">
        <f>IRR(D157:D162)</f>
        <v>8.1870351814278486E-2</v>
      </c>
      <c r="E164" s="1" t="s">
        <v>2810</v>
      </c>
    </row>
    <row r="171" spans="1:8" x14ac:dyDescent="0.2">
      <c r="A171" s="81" t="s">
        <v>2727</v>
      </c>
      <c r="B171" s="38"/>
      <c r="C171" s="38"/>
      <c r="D171" s="38"/>
      <c r="E171" s="38"/>
      <c r="F171" s="38"/>
      <c r="G171" s="38"/>
      <c r="H171" s="38"/>
    </row>
    <row r="172" spans="1:8" x14ac:dyDescent="0.2">
      <c r="A172" s="1" t="s">
        <v>2728</v>
      </c>
    </row>
    <row r="173" spans="1:8" x14ac:dyDescent="0.2">
      <c r="A173" s="1" t="s">
        <v>2811</v>
      </c>
    </row>
    <row r="174" spans="1:8" x14ac:dyDescent="0.2">
      <c r="A174" s="1" t="s">
        <v>2812</v>
      </c>
    </row>
    <row r="175" spans="1:8" x14ac:dyDescent="0.2">
      <c r="A175" s="1" t="s">
        <v>2700</v>
      </c>
      <c r="D175" s="13"/>
    </row>
    <row r="177" spans="1:8" x14ac:dyDescent="0.2">
      <c r="A177" s="1" t="s">
        <v>198</v>
      </c>
    </row>
    <row r="179" spans="1:8" x14ac:dyDescent="0.2">
      <c r="B179" s="37" t="s">
        <v>35</v>
      </c>
      <c r="C179" s="37" t="s">
        <v>3480</v>
      </c>
      <c r="D179" s="37" t="s">
        <v>203</v>
      </c>
      <c r="E179" s="37" t="s">
        <v>2774</v>
      </c>
      <c r="F179" s="37" t="s">
        <v>206</v>
      </c>
    </row>
    <row r="180" spans="1:8" x14ac:dyDescent="0.2">
      <c r="B180" s="37">
        <v>0</v>
      </c>
      <c r="C180" s="343"/>
      <c r="D180" s="343"/>
      <c r="E180" s="512">
        <f>-98*102/104.5</f>
        <v>-95.655502392344502</v>
      </c>
      <c r="F180" s="37">
        <v>100</v>
      </c>
    </row>
    <row r="181" spans="1:8" x14ac:dyDescent="0.2">
      <c r="B181" s="37">
        <v>1</v>
      </c>
      <c r="C181" s="37">
        <v>0</v>
      </c>
      <c r="D181" s="37">
        <f>5%*F180</f>
        <v>5</v>
      </c>
      <c r="E181" s="37">
        <f>C181+D181</f>
        <v>5</v>
      </c>
      <c r="F181" s="37">
        <f>F180-C181</f>
        <v>100</v>
      </c>
    </row>
    <row r="182" spans="1:8" x14ac:dyDescent="0.2">
      <c r="B182" s="37">
        <v>2</v>
      </c>
      <c r="C182" s="37">
        <v>0</v>
      </c>
      <c r="D182" s="37">
        <f>5%*F181</f>
        <v>5</v>
      </c>
      <c r="E182" s="37">
        <f>C182+D182</f>
        <v>5</v>
      </c>
      <c r="F182" s="37">
        <f>F181-C182</f>
        <v>100</v>
      </c>
    </row>
    <row r="183" spans="1:8" x14ac:dyDescent="0.2">
      <c r="B183" s="37">
        <v>3</v>
      </c>
      <c r="C183" s="37">
        <v>0</v>
      </c>
      <c r="D183" s="37">
        <f>5%*F182</f>
        <v>5</v>
      </c>
      <c r="E183" s="37">
        <f>C183+D183</f>
        <v>5</v>
      </c>
      <c r="F183" s="37">
        <f>F182-C183</f>
        <v>100</v>
      </c>
    </row>
    <row r="184" spans="1:8" x14ac:dyDescent="0.2">
      <c r="B184" s="37">
        <v>4</v>
      </c>
      <c r="C184" s="37">
        <v>100</v>
      </c>
      <c r="D184" s="37">
        <f>5%*F183</f>
        <v>5</v>
      </c>
      <c r="E184" s="37">
        <f>C184+D184</f>
        <v>105</v>
      </c>
      <c r="F184" s="37">
        <f>F183-C184</f>
        <v>0</v>
      </c>
    </row>
    <row r="185" spans="1:8" x14ac:dyDescent="0.2">
      <c r="B185" s="37"/>
      <c r="C185" s="37"/>
      <c r="D185" s="37"/>
      <c r="E185" s="37"/>
      <c r="F185" s="37"/>
    </row>
    <row r="186" spans="1:8" x14ac:dyDescent="0.2">
      <c r="B186" s="53" t="s">
        <v>3494</v>
      </c>
      <c r="C186" s="37"/>
      <c r="D186" s="37"/>
      <c r="E186" s="513">
        <f>IRR(E180:E184)</f>
        <v>6.2612951947418782E-2</v>
      </c>
      <c r="F186" s="37" t="s">
        <v>3142</v>
      </c>
    </row>
    <row r="188" spans="1:8" x14ac:dyDescent="0.2">
      <c r="A188" s="81" t="s">
        <v>3495</v>
      </c>
      <c r="B188" s="38"/>
      <c r="C188" s="38"/>
      <c r="D188" s="38"/>
      <c r="E188" s="38"/>
      <c r="F188" s="38"/>
      <c r="G188" s="38"/>
      <c r="H188" s="45" t="s">
        <v>3496</v>
      </c>
    </row>
    <row r="189" spans="1:8" x14ac:dyDescent="0.2">
      <c r="A189" s="1" t="s">
        <v>2729</v>
      </c>
    </row>
    <row r="190" spans="1:8" x14ac:dyDescent="0.2">
      <c r="A190" s="1" t="s">
        <v>2730</v>
      </c>
    </row>
    <row r="191" spans="1:8" x14ac:dyDescent="0.2">
      <c r="A191" s="1" t="s">
        <v>2731</v>
      </c>
    </row>
    <row r="192" spans="1:8" x14ac:dyDescent="0.2">
      <c r="A192" s="1" t="s">
        <v>450</v>
      </c>
    </row>
    <row r="194" spans="1:6" x14ac:dyDescent="0.2">
      <c r="A194" s="1" t="s">
        <v>198</v>
      </c>
    </row>
    <row r="196" spans="1:6" x14ac:dyDescent="0.2">
      <c r="A196" s="4" t="s">
        <v>2679</v>
      </c>
    </row>
    <row r="198" spans="1:6" x14ac:dyDescent="0.2">
      <c r="B198" s="1" t="s">
        <v>35</v>
      </c>
      <c r="C198" s="1" t="s">
        <v>52</v>
      </c>
      <c r="E198" s="40">
        <v>0.1</v>
      </c>
      <c r="F198" s="1" t="s">
        <v>335</v>
      </c>
    </row>
    <row r="199" spans="1:6" x14ac:dyDescent="0.2">
      <c r="B199" s="1">
        <v>0</v>
      </c>
    </row>
    <row r="200" spans="1:6" x14ac:dyDescent="0.2">
      <c r="B200" s="1">
        <v>1</v>
      </c>
      <c r="C200" s="1">
        <v>5</v>
      </c>
      <c r="E200" s="173">
        <f>NPV(E198,C200:C205)</f>
        <v>78.223696502688824</v>
      </c>
      <c r="F200" s="1" t="s">
        <v>2757</v>
      </c>
    </row>
    <row r="201" spans="1:6" x14ac:dyDescent="0.2">
      <c r="B201" s="1">
        <v>2</v>
      </c>
      <c r="C201" s="1">
        <v>5</v>
      </c>
    </row>
    <row r="202" spans="1:6" x14ac:dyDescent="0.2">
      <c r="B202" s="1">
        <v>3</v>
      </c>
      <c r="C202" s="1">
        <v>5</v>
      </c>
    </row>
    <row r="203" spans="1:6" x14ac:dyDescent="0.2">
      <c r="B203" s="1">
        <v>4</v>
      </c>
      <c r="C203" s="1">
        <v>5</v>
      </c>
    </row>
    <row r="204" spans="1:6" x14ac:dyDescent="0.2">
      <c r="B204" s="1">
        <v>5</v>
      </c>
      <c r="C204" s="1">
        <v>5</v>
      </c>
    </row>
    <row r="205" spans="1:6" x14ac:dyDescent="0.2">
      <c r="B205" s="1">
        <v>6</v>
      </c>
      <c r="C205" s="1">
        <v>105</v>
      </c>
    </row>
    <row r="207" spans="1:6" x14ac:dyDescent="0.2">
      <c r="A207" s="4" t="s">
        <v>2685</v>
      </c>
    </row>
    <row r="209" spans="1:8" x14ac:dyDescent="0.2">
      <c r="A209" s="1" t="s">
        <v>2814</v>
      </c>
    </row>
    <row r="210" spans="1:8" x14ac:dyDescent="0.2">
      <c r="B210" s="427">
        <f>E200*4/3.8</f>
        <v>82.34073316072508</v>
      </c>
      <c r="D210" s="1" t="s">
        <v>2816</v>
      </c>
      <c r="F210" s="1" t="s">
        <v>2815</v>
      </c>
    </row>
    <row r="211" spans="1:8" x14ac:dyDescent="0.2">
      <c r="B211" s="4" t="s">
        <v>2280</v>
      </c>
    </row>
    <row r="212" spans="1:8" x14ac:dyDescent="0.2">
      <c r="B212" s="4" t="s">
        <v>2817</v>
      </c>
    </row>
    <row r="214" spans="1:8" x14ac:dyDescent="0.2">
      <c r="A214" s="81" t="s">
        <v>2734</v>
      </c>
      <c r="B214" s="38"/>
      <c r="C214" s="38"/>
      <c r="D214" s="38"/>
      <c r="E214" s="38"/>
      <c r="F214" s="38"/>
      <c r="G214" s="38"/>
      <c r="H214" s="45"/>
    </row>
    <row r="215" spans="1:8" x14ac:dyDescent="0.2">
      <c r="A215" s="1" t="s">
        <v>454</v>
      </c>
    </row>
    <row r="216" spans="1:8" x14ac:dyDescent="0.2">
      <c r="A216" s="1" t="s">
        <v>455</v>
      </c>
    </row>
    <row r="217" spans="1:8" x14ac:dyDescent="0.2">
      <c r="A217" s="1" t="s">
        <v>456</v>
      </c>
    </row>
    <row r="218" spans="1:8" x14ac:dyDescent="0.2">
      <c r="A218" s="1" t="s">
        <v>457</v>
      </c>
    </row>
    <row r="219" spans="1:8" x14ac:dyDescent="0.2">
      <c r="A219" s="4" t="s">
        <v>458</v>
      </c>
    </row>
    <row r="221" spans="1:8" x14ac:dyDescent="0.2">
      <c r="A221" s="1" t="s">
        <v>198</v>
      </c>
    </row>
    <row r="222" spans="1:8" x14ac:dyDescent="0.2">
      <c r="B222" s="1" t="s">
        <v>12</v>
      </c>
      <c r="C222" s="1" t="s">
        <v>3480</v>
      </c>
      <c r="D222" s="1" t="s">
        <v>203</v>
      </c>
      <c r="E222" s="1" t="s">
        <v>2774</v>
      </c>
      <c r="F222" s="1" t="s">
        <v>206</v>
      </c>
    </row>
    <row r="223" spans="1:8" x14ac:dyDescent="0.2">
      <c r="B223" s="24">
        <v>40543</v>
      </c>
      <c r="C223" s="27"/>
      <c r="D223" s="27"/>
      <c r="E223" s="514">
        <f>NPV(5%,E225:E230)</f>
        <v>89.848615865465078</v>
      </c>
      <c r="F223" s="1">
        <f>F224</f>
        <v>100</v>
      </c>
    </row>
    <row r="224" spans="1:8" ht="18" x14ac:dyDescent="0.2">
      <c r="B224" s="24">
        <v>40731</v>
      </c>
      <c r="C224" s="27"/>
      <c r="D224" s="27"/>
      <c r="E224" s="515">
        <f>E223*(1+5%)^(189/365)</f>
        <v>92.147463336122399</v>
      </c>
      <c r="F224" s="1">
        <v>100</v>
      </c>
    </row>
    <row r="225" spans="2:9" x14ac:dyDescent="0.2">
      <c r="B225" s="24">
        <v>40908</v>
      </c>
      <c r="C225" s="1">
        <v>0</v>
      </c>
      <c r="D225" s="1">
        <f t="shared" ref="D225:D230" si="3">3%*F224</f>
        <v>3</v>
      </c>
      <c r="E225" s="1">
        <f t="shared" ref="E225:E230" si="4">C225+D225</f>
        <v>3</v>
      </c>
      <c r="F225" s="1">
        <f t="shared" ref="F225:F230" si="5">F224-C225</f>
        <v>100</v>
      </c>
    </row>
    <row r="226" spans="2:9" x14ac:dyDescent="0.2">
      <c r="B226" s="24">
        <v>41274</v>
      </c>
      <c r="C226" s="1">
        <v>0</v>
      </c>
      <c r="D226" s="1">
        <f t="shared" si="3"/>
        <v>3</v>
      </c>
      <c r="E226" s="1">
        <f t="shared" si="4"/>
        <v>3</v>
      </c>
      <c r="F226" s="1">
        <f t="shared" si="5"/>
        <v>100</v>
      </c>
    </row>
    <row r="227" spans="2:9" x14ac:dyDescent="0.2">
      <c r="B227" s="24">
        <v>41639</v>
      </c>
      <c r="C227" s="1">
        <v>0</v>
      </c>
      <c r="D227" s="1">
        <f t="shared" si="3"/>
        <v>3</v>
      </c>
      <c r="E227" s="1">
        <f t="shared" si="4"/>
        <v>3</v>
      </c>
      <c r="F227" s="1">
        <f t="shared" si="5"/>
        <v>100</v>
      </c>
      <c r="G227" s="1" t="s">
        <v>3497</v>
      </c>
    </row>
    <row r="228" spans="2:9" x14ac:dyDescent="0.2">
      <c r="B228" s="24">
        <v>42004</v>
      </c>
      <c r="C228" s="1">
        <v>0</v>
      </c>
      <c r="D228" s="1">
        <f t="shared" si="3"/>
        <v>3</v>
      </c>
      <c r="E228" s="1">
        <f t="shared" si="4"/>
        <v>3</v>
      </c>
      <c r="F228" s="1">
        <f t="shared" si="5"/>
        <v>100</v>
      </c>
      <c r="G228" s="1" t="s">
        <v>3498</v>
      </c>
    </row>
    <row r="229" spans="2:9" x14ac:dyDescent="0.2">
      <c r="B229" s="24">
        <v>42369</v>
      </c>
      <c r="C229" s="1">
        <v>0</v>
      </c>
      <c r="D229" s="1">
        <f t="shared" si="3"/>
        <v>3</v>
      </c>
      <c r="E229" s="1">
        <f t="shared" si="4"/>
        <v>3</v>
      </c>
      <c r="F229" s="1">
        <f t="shared" si="5"/>
        <v>100</v>
      </c>
      <c r="G229" s="1" t="s">
        <v>3499</v>
      </c>
    </row>
    <row r="230" spans="2:9" x14ac:dyDescent="0.2">
      <c r="B230" s="24">
        <v>42735</v>
      </c>
      <c r="C230" s="1">
        <f>100</f>
        <v>100</v>
      </c>
      <c r="D230" s="1">
        <f t="shared" si="3"/>
        <v>3</v>
      </c>
      <c r="E230" s="1">
        <f t="shared" si="4"/>
        <v>103</v>
      </c>
      <c r="F230" s="1">
        <f t="shared" si="5"/>
        <v>0</v>
      </c>
      <c r="G230" s="1" t="s">
        <v>3500</v>
      </c>
    </row>
    <row r="231" spans="2:9" x14ac:dyDescent="0.2">
      <c r="G231" s="1" t="s">
        <v>3501</v>
      </c>
      <c r="H231" s="24">
        <v>40543</v>
      </c>
    </row>
    <row r="232" spans="2:9" x14ac:dyDescent="0.2">
      <c r="H232" s="24">
        <v>40731</v>
      </c>
    </row>
    <row r="233" spans="2:9" x14ac:dyDescent="0.2">
      <c r="C233" s="1" t="s">
        <v>3503</v>
      </c>
      <c r="H233" s="1">
        <f>H232-H231+1</f>
        <v>189</v>
      </c>
    </row>
    <row r="234" spans="2:9" x14ac:dyDescent="0.2">
      <c r="C234" s="1" t="s">
        <v>3504</v>
      </c>
      <c r="I234" s="1" t="s">
        <v>3502</v>
      </c>
    </row>
    <row r="235" spans="2:9" x14ac:dyDescent="0.2">
      <c r="C235" s="1" t="s">
        <v>3505</v>
      </c>
    </row>
    <row r="236" spans="2:9" x14ac:dyDescent="0.2">
      <c r="C236" s="516">
        <f>E224*4.12/4.01</f>
        <v>94.675199238110793</v>
      </c>
      <c r="E236" s="1" t="s">
        <v>3506</v>
      </c>
    </row>
    <row r="237" spans="2:9" x14ac:dyDescent="0.2">
      <c r="C237" s="1" t="s">
        <v>287</v>
      </c>
    </row>
    <row r="245" spans="2:3" x14ac:dyDescent="0.2">
      <c r="B245" s="1" t="s">
        <v>3507</v>
      </c>
    </row>
    <row r="246" spans="2:3" x14ac:dyDescent="0.2">
      <c r="B246" s="1" t="s">
        <v>3508</v>
      </c>
    </row>
    <row r="247" spans="2:3" x14ac:dyDescent="0.2">
      <c r="C247" s="1" t="s">
        <v>3509</v>
      </c>
    </row>
    <row r="248" spans="2:3" x14ac:dyDescent="0.2">
      <c r="C248" s="1" t="s">
        <v>3510</v>
      </c>
    </row>
    <row r="249" spans="2:3" x14ac:dyDescent="0.2">
      <c r="C249" s="1" t="s">
        <v>3511</v>
      </c>
    </row>
    <row r="250" spans="2:3" x14ac:dyDescent="0.2">
      <c r="C250" s="1" t="s">
        <v>3512</v>
      </c>
    </row>
    <row r="252" spans="2:3" x14ac:dyDescent="0.2">
      <c r="B252" s="1" t="s">
        <v>3513</v>
      </c>
    </row>
    <row r="253" spans="2:3" x14ac:dyDescent="0.2">
      <c r="C253" s="1" t="s">
        <v>3514</v>
      </c>
    </row>
    <row r="254" spans="2:3" x14ac:dyDescent="0.2">
      <c r="C254" s="1" t="s">
        <v>3515</v>
      </c>
    </row>
    <row r="255" spans="2:3" x14ac:dyDescent="0.2">
      <c r="C255" s="1" t="s">
        <v>3516</v>
      </c>
    </row>
    <row r="256" spans="2:3" x14ac:dyDescent="0.2">
      <c r="C256" s="1" t="s">
        <v>3517</v>
      </c>
    </row>
    <row r="264" spans="1:7" x14ac:dyDescent="0.2">
      <c r="A264" s="1" t="s">
        <v>2732</v>
      </c>
    </row>
    <row r="265" spans="1:7" x14ac:dyDescent="0.2">
      <c r="A265" s="1" t="s">
        <v>2733</v>
      </c>
    </row>
    <row r="267" spans="1:7" x14ac:dyDescent="0.2">
      <c r="A267" s="4" t="s">
        <v>2735</v>
      </c>
    </row>
    <row r="269" spans="1:7" x14ac:dyDescent="0.2">
      <c r="B269" s="25" t="s">
        <v>35</v>
      </c>
      <c r="C269" s="25" t="s">
        <v>2818</v>
      </c>
      <c r="D269" s="25" t="s">
        <v>52</v>
      </c>
    </row>
    <row r="270" spans="1:7" x14ac:dyDescent="0.2">
      <c r="B270" s="24">
        <v>40543</v>
      </c>
      <c r="C270" s="1">
        <v>0</v>
      </c>
      <c r="F270" s="11">
        <v>0.05</v>
      </c>
      <c r="G270" s="1" t="s">
        <v>335</v>
      </c>
    </row>
    <row r="271" spans="1:7" x14ac:dyDescent="0.2">
      <c r="B271" s="24">
        <v>40908</v>
      </c>
      <c r="C271" s="1">
        <v>1</v>
      </c>
      <c r="D271" s="1">
        <f>3%*100</f>
        <v>3</v>
      </c>
      <c r="F271" s="161">
        <f>NPV(F270,D271:D276)</f>
        <v>89.848615865465078</v>
      </c>
      <c r="G271" s="1" t="s">
        <v>2765</v>
      </c>
    </row>
    <row r="272" spans="1:7" x14ac:dyDescent="0.2">
      <c r="B272" s="24">
        <v>41274</v>
      </c>
      <c r="C272" s="1">
        <f>C271+1</f>
        <v>2</v>
      </c>
      <c r="D272" s="1">
        <f>3%*100</f>
        <v>3</v>
      </c>
    </row>
    <row r="273" spans="1:13" x14ac:dyDescent="0.2">
      <c r="B273" s="24">
        <v>41639</v>
      </c>
      <c r="C273" s="1">
        <f>C272+1</f>
        <v>3</v>
      </c>
      <c r="D273" s="1">
        <f>3%*100</f>
        <v>3</v>
      </c>
      <c r="J273" s="4"/>
    </row>
    <row r="274" spans="1:13" x14ac:dyDescent="0.2">
      <c r="B274" s="24">
        <v>42004</v>
      </c>
      <c r="C274" s="1">
        <f>C273+1</f>
        <v>4</v>
      </c>
      <c r="D274" s="1">
        <f>3%*100</f>
        <v>3</v>
      </c>
      <c r="J274" s="4"/>
    </row>
    <row r="275" spans="1:13" x14ac:dyDescent="0.2">
      <c r="B275" s="24">
        <v>42369</v>
      </c>
      <c r="C275" s="1">
        <f>C274+1</f>
        <v>5</v>
      </c>
      <c r="D275" s="1">
        <f>3%*100</f>
        <v>3</v>
      </c>
    </row>
    <row r="276" spans="1:13" x14ac:dyDescent="0.2">
      <c r="B276" s="24">
        <v>42735</v>
      </c>
      <c r="C276" s="1">
        <f>C275+1</f>
        <v>6</v>
      </c>
      <c r="D276" s="1">
        <v>103</v>
      </c>
      <c r="M276" s="9"/>
    </row>
    <row r="277" spans="1:13" x14ac:dyDescent="0.2">
      <c r="M277" s="8"/>
    </row>
    <row r="278" spans="1:13" x14ac:dyDescent="0.2">
      <c r="A278" s="4" t="s">
        <v>2736</v>
      </c>
      <c r="M278" s="417"/>
    </row>
    <row r="279" spans="1:13" x14ac:dyDescent="0.2">
      <c r="M279" s="8"/>
    </row>
    <row r="280" spans="1:13" x14ac:dyDescent="0.2">
      <c r="B280" s="1" t="s">
        <v>2819</v>
      </c>
      <c r="D280" s="24">
        <f>B270</f>
        <v>40543</v>
      </c>
      <c r="M280" s="8"/>
    </row>
    <row r="281" spans="1:13" x14ac:dyDescent="0.2">
      <c r="B281" s="1" t="s">
        <v>2820</v>
      </c>
      <c r="D281" s="24">
        <v>40731</v>
      </c>
    </row>
    <row r="282" spans="1:13" x14ac:dyDescent="0.2">
      <c r="B282" s="1" t="s">
        <v>2821</v>
      </c>
      <c r="D282" s="1">
        <f>D281-D280+1</f>
        <v>189</v>
      </c>
      <c r="E282" s="4" t="s">
        <v>2822</v>
      </c>
      <c r="F282" s="4"/>
      <c r="G282" s="4"/>
      <c r="H282" s="4"/>
      <c r="J282" s="4"/>
    </row>
    <row r="283" spans="1:13" x14ac:dyDescent="0.2">
      <c r="J283" s="4"/>
    </row>
    <row r="284" spans="1:13" x14ac:dyDescent="0.2">
      <c r="B284" s="1" t="s">
        <v>2823</v>
      </c>
      <c r="J284" s="4"/>
    </row>
    <row r="285" spans="1:13" x14ac:dyDescent="0.2">
      <c r="B285" s="1" t="s">
        <v>2824</v>
      </c>
      <c r="J285" s="4"/>
    </row>
    <row r="287" spans="1:13" x14ac:dyDescent="0.2">
      <c r="A287" s="1" t="s">
        <v>2826</v>
      </c>
      <c r="D287" s="161">
        <f>F271*(1+F270)^(189/365)</f>
        <v>92.147463336122399</v>
      </c>
      <c r="F287" s="1" t="s">
        <v>2825</v>
      </c>
    </row>
    <row r="289" spans="1:12" x14ac:dyDescent="0.2">
      <c r="A289" s="4" t="s">
        <v>2737</v>
      </c>
    </row>
    <row r="291" spans="1:12" x14ac:dyDescent="0.2">
      <c r="A291" s="1" t="s">
        <v>2827</v>
      </c>
    </row>
    <row r="292" spans="1:12" x14ac:dyDescent="0.2">
      <c r="D292" s="427">
        <f>D287*4.12/4.01</f>
        <v>94.675199238110793</v>
      </c>
      <c r="F292" s="1" t="s">
        <v>2828</v>
      </c>
    </row>
    <row r="293" spans="1:12" x14ac:dyDescent="0.2">
      <c r="D293" s="4" t="s">
        <v>2829</v>
      </c>
    </row>
    <row r="294" spans="1:12" x14ac:dyDescent="0.2">
      <c r="D294" s="4" t="s">
        <v>2830</v>
      </c>
    </row>
    <row r="295" spans="1:12" x14ac:dyDescent="0.2">
      <c r="D295" s="4" t="s">
        <v>2831</v>
      </c>
      <c r="L295" s="24"/>
    </row>
    <row r="296" spans="1:12" x14ac:dyDescent="0.2">
      <c r="L296" s="24"/>
    </row>
    <row r="303" spans="1:12" x14ac:dyDescent="0.2">
      <c r="A303" s="81" t="s">
        <v>2738</v>
      </c>
      <c r="B303" s="38"/>
      <c r="C303" s="38"/>
      <c r="D303" s="38"/>
      <c r="E303" s="38"/>
      <c r="F303" s="38"/>
      <c r="G303" s="38"/>
      <c r="H303" s="45"/>
    </row>
    <row r="304" spans="1:12" x14ac:dyDescent="0.2">
      <c r="A304" s="1" t="s">
        <v>2739</v>
      </c>
    </row>
    <row r="305" spans="1:13" x14ac:dyDescent="0.2">
      <c r="A305" s="1" t="s">
        <v>2740</v>
      </c>
    </row>
    <row r="306" spans="1:13" ht="17" thickBot="1" x14ac:dyDescent="0.25">
      <c r="A306" s="1" t="s">
        <v>2741</v>
      </c>
    </row>
    <row r="307" spans="1:13" x14ac:dyDescent="0.2">
      <c r="A307" s="1" t="s">
        <v>2742</v>
      </c>
      <c r="G307" s="16" t="s">
        <v>3518</v>
      </c>
      <c r="H307" s="17"/>
      <c r="I307" s="17"/>
      <c r="J307" s="18"/>
    </row>
    <row r="308" spans="1:13" x14ac:dyDescent="0.2">
      <c r="A308" s="1" t="s">
        <v>2743</v>
      </c>
      <c r="G308" s="19" t="s">
        <v>3519</v>
      </c>
      <c r="J308" s="20"/>
    </row>
    <row r="309" spans="1:13" x14ac:dyDescent="0.2">
      <c r="G309" s="19" t="s">
        <v>3520</v>
      </c>
      <c r="J309" s="20"/>
      <c r="M309" s="8"/>
    </row>
    <row r="310" spans="1:13" x14ac:dyDescent="0.2">
      <c r="A310" s="1" t="s">
        <v>198</v>
      </c>
      <c r="G310" s="19" t="s">
        <v>3521</v>
      </c>
      <c r="J310" s="20"/>
      <c r="M310" s="8"/>
    </row>
    <row r="311" spans="1:13" x14ac:dyDescent="0.2">
      <c r="E311" s="1" t="s">
        <v>3490</v>
      </c>
      <c r="G311" s="19" t="s">
        <v>3522</v>
      </c>
      <c r="J311" s="20"/>
      <c r="M311" s="8"/>
    </row>
    <row r="312" spans="1:13" x14ac:dyDescent="0.2">
      <c r="B312" s="1" t="s">
        <v>12</v>
      </c>
      <c r="C312" s="1" t="s">
        <v>3480</v>
      </c>
      <c r="D312" s="1" t="s">
        <v>203</v>
      </c>
      <c r="E312" s="1" t="s">
        <v>460</v>
      </c>
      <c r="F312" s="1" t="s">
        <v>206</v>
      </c>
      <c r="G312" s="19" t="s">
        <v>3523</v>
      </c>
      <c r="J312" s="20"/>
      <c r="M312" s="8"/>
    </row>
    <row r="313" spans="1:13" ht="17" thickBot="1" x14ac:dyDescent="0.25">
      <c r="B313" s="24">
        <v>44926</v>
      </c>
      <c r="C313" s="27"/>
      <c r="D313" s="27"/>
      <c r="E313" s="161">
        <f>NPV(8%,E315:E321)</f>
        <v>89.587259881553322</v>
      </c>
      <c r="F313" s="1">
        <v>100</v>
      </c>
      <c r="G313" s="21" t="s">
        <v>3524</v>
      </c>
      <c r="H313" s="22"/>
      <c r="I313" s="22"/>
      <c r="J313" s="23"/>
      <c r="M313" s="8"/>
    </row>
    <row r="314" spans="1:13" ht="18" x14ac:dyDescent="0.2">
      <c r="B314" s="517">
        <v>44964</v>
      </c>
      <c r="C314" s="27">
        <v>0</v>
      </c>
      <c r="D314" s="27"/>
      <c r="E314" s="518">
        <f>E313*(1+8%)^((B314-B313+1)/365)</f>
        <v>90.326994266844849</v>
      </c>
      <c r="F314" s="1">
        <f>F313-C314</f>
        <v>100</v>
      </c>
      <c r="M314" s="8"/>
    </row>
    <row r="315" spans="1:13" x14ac:dyDescent="0.2">
      <c r="B315" s="24">
        <v>45291</v>
      </c>
      <c r="C315" s="1">
        <v>0</v>
      </c>
      <c r="D315" s="1">
        <f>6%*F314</f>
        <v>6</v>
      </c>
      <c r="E315" s="1">
        <f>C315+D315</f>
        <v>6</v>
      </c>
      <c r="F315" s="1">
        <f t="shared" ref="F315:F321" si="6">F314-C315</f>
        <v>100</v>
      </c>
      <c r="G315" s="1" t="s">
        <v>3525</v>
      </c>
      <c r="M315" s="8"/>
    </row>
    <row r="316" spans="1:13" ht="17" thickBot="1" x14ac:dyDescent="0.25">
      <c r="B316" s="24">
        <v>45657</v>
      </c>
      <c r="C316" s="1">
        <v>0</v>
      </c>
      <c r="D316" s="1">
        <f t="shared" ref="D316:D321" si="7">6%*F315</f>
        <v>6</v>
      </c>
      <c r="E316" s="1">
        <f t="shared" ref="E316:E321" si="8">C316+D316</f>
        <v>6</v>
      </c>
      <c r="F316" s="1">
        <f t="shared" si="6"/>
        <v>100</v>
      </c>
      <c r="G316" s="1" t="s">
        <v>3526</v>
      </c>
      <c r="M316" s="8"/>
    </row>
    <row r="317" spans="1:13" x14ac:dyDescent="0.2">
      <c r="B317" s="24">
        <v>46022</v>
      </c>
      <c r="C317" s="1">
        <v>0</v>
      </c>
      <c r="D317" s="1">
        <f t="shared" si="7"/>
        <v>6</v>
      </c>
      <c r="E317" s="1">
        <f t="shared" si="8"/>
        <v>6</v>
      </c>
      <c r="F317" s="1">
        <f t="shared" si="6"/>
        <v>100</v>
      </c>
      <c r="G317" s="519" t="s">
        <v>2813</v>
      </c>
      <c r="H317" s="594">
        <f>E314*4.05/3.92</f>
        <v>93.322532342020821</v>
      </c>
      <c r="M317" s="8"/>
    </row>
    <row r="318" spans="1:13" ht="17" thickBot="1" x14ac:dyDescent="0.25">
      <c r="B318" s="24">
        <v>46387</v>
      </c>
      <c r="C318" s="1">
        <v>0</v>
      </c>
      <c r="D318" s="1">
        <f t="shared" si="7"/>
        <v>6</v>
      </c>
      <c r="E318" s="1">
        <f t="shared" si="8"/>
        <v>6</v>
      </c>
      <c r="F318" s="1">
        <f t="shared" si="6"/>
        <v>100</v>
      </c>
      <c r="G318" s="520" t="s">
        <v>3527</v>
      </c>
      <c r="H318" s="595"/>
      <c r="M318" s="8"/>
    </row>
    <row r="319" spans="1:13" x14ac:dyDescent="0.2">
      <c r="B319" s="24">
        <v>46752</v>
      </c>
      <c r="C319" s="1">
        <v>0</v>
      </c>
      <c r="D319" s="1">
        <f t="shared" si="7"/>
        <v>6</v>
      </c>
      <c r="E319" s="1">
        <f t="shared" si="8"/>
        <v>6</v>
      </c>
      <c r="F319" s="1">
        <f t="shared" si="6"/>
        <v>100</v>
      </c>
      <c r="M319" s="8"/>
    </row>
    <row r="320" spans="1:13" x14ac:dyDescent="0.2">
      <c r="B320" s="24">
        <v>47118</v>
      </c>
      <c r="C320" s="1">
        <v>0</v>
      </c>
      <c r="D320" s="1">
        <f t="shared" si="7"/>
        <v>6</v>
      </c>
      <c r="E320" s="1">
        <f t="shared" si="8"/>
        <v>6</v>
      </c>
      <c r="F320" s="1">
        <f t="shared" si="6"/>
        <v>100</v>
      </c>
      <c r="M320" s="8"/>
    </row>
    <row r="321" spans="1:13" x14ac:dyDescent="0.2">
      <c r="B321" s="24">
        <v>47483</v>
      </c>
      <c r="C321" s="1">
        <v>100</v>
      </c>
      <c r="D321" s="1">
        <f t="shared" si="7"/>
        <v>6</v>
      </c>
      <c r="E321" s="1">
        <f t="shared" si="8"/>
        <v>106</v>
      </c>
      <c r="F321" s="1">
        <f t="shared" si="6"/>
        <v>0</v>
      </c>
      <c r="M321" s="8"/>
    </row>
    <row r="322" spans="1:13" x14ac:dyDescent="0.2">
      <c r="M322" s="8"/>
    </row>
    <row r="323" spans="1:13" x14ac:dyDescent="0.2">
      <c r="A323" s="1" t="s">
        <v>3528</v>
      </c>
      <c r="M323" s="8"/>
    </row>
    <row r="324" spans="1:13" x14ac:dyDescent="0.2">
      <c r="A324" s="1" t="s">
        <v>3529</v>
      </c>
      <c r="M324" s="8"/>
    </row>
    <row r="325" spans="1:13" x14ac:dyDescent="0.2">
      <c r="M325" s="8"/>
    </row>
    <row r="326" spans="1:13" x14ac:dyDescent="0.2">
      <c r="A326" s="1" t="s">
        <v>2832</v>
      </c>
      <c r="M326" s="8"/>
    </row>
    <row r="327" spans="1:13" x14ac:dyDescent="0.2">
      <c r="M327" s="8"/>
    </row>
    <row r="328" spans="1:13" x14ac:dyDescent="0.2">
      <c r="B328" s="1" t="s">
        <v>12</v>
      </c>
      <c r="C328" s="1" t="s">
        <v>2818</v>
      </c>
      <c r="D328" s="1" t="s">
        <v>52</v>
      </c>
      <c r="F328" s="11">
        <v>0.08</v>
      </c>
      <c r="G328" s="1" t="s">
        <v>2767</v>
      </c>
      <c r="M328" s="8"/>
    </row>
    <row r="329" spans="1:13" x14ac:dyDescent="0.2">
      <c r="B329" s="24">
        <v>44926</v>
      </c>
      <c r="C329" s="1">
        <v>0</v>
      </c>
      <c r="F329" s="160">
        <f>NPV(F328,D330:D336)</f>
        <v>89.587259881553322</v>
      </c>
      <c r="G329" s="1" t="s">
        <v>2833</v>
      </c>
      <c r="M329" s="8"/>
    </row>
    <row r="330" spans="1:13" x14ac:dyDescent="0.2">
      <c r="B330" s="24">
        <v>45291</v>
      </c>
      <c r="C330" s="1">
        <v>1</v>
      </c>
      <c r="D330" s="1">
        <f t="shared" ref="D330:D335" si="9">6%*100</f>
        <v>6</v>
      </c>
      <c r="F330" s="1" t="s">
        <v>2834</v>
      </c>
      <c r="M330" s="8"/>
    </row>
    <row r="331" spans="1:13" x14ac:dyDescent="0.2">
      <c r="B331" s="24">
        <v>45657</v>
      </c>
      <c r="C331" s="1">
        <f t="shared" ref="C331:C336" si="10">C330+1</f>
        <v>2</v>
      </c>
      <c r="D331" s="1">
        <f t="shared" si="9"/>
        <v>6</v>
      </c>
      <c r="F331" s="1" t="s">
        <v>2835</v>
      </c>
      <c r="M331" s="8"/>
    </row>
    <row r="332" spans="1:13" x14ac:dyDescent="0.2">
      <c r="B332" s="24">
        <v>46022</v>
      </c>
      <c r="C332" s="1">
        <f t="shared" si="10"/>
        <v>3</v>
      </c>
      <c r="D332" s="1">
        <f t="shared" si="9"/>
        <v>6</v>
      </c>
      <c r="M332" s="8"/>
    </row>
    <row r="333" spans="1:13" x14ac:dyDescent="0.2">
      <c r="B333" s="24">
        <v>46387</v>
      </c>
      <c r="C333" s="1">
        <f t="shared" si="10"/>
        <v>4</v>
      </c>
      <c r="D333" s="1">
        <f t="shared" si="9"/>
        <v>6</v>
      </c>
      <c r="M333" s="8"/>
    </row>
    <row r="334" spans="1:13" x14ac:dyDescent="0.2">
      <c r="B334" s="24">
        <v>46752</v>
      </c>
      <c r="C334" s="1">
        <f t="shared" si="10"/>
        <v>5</v>
      </c>
      <c r="D334" s="1">
        <f t="shared" si="9"/>
        <v>6</v>
      </c>
    </row>
    <row r="335" spans="1:13" x14ac:dyDescent="0.2">
      <c r="B335" s="24">
        <v>47118</v>
      </c>
      <c r="C335" s="1">
        <f t="shared" si="10"/>
        <v>6</v>
      </c>
      <c r="D335" s="1">
        <f t="shared" si="9"/>
        <v>6</v>
      </c>
    </row>
    <row r="336" spans="1:13" x14ac:dyDescent="0.2">
      <c r="B336" s="24">
        <v>47483</v>
      </c>
      <c r="C336" s="1">
        <f t="shared" si="10"/>
        <v>7</v>
      </c>
      <c r="D336" s="1">
        <v>106</v>
      </c>
    </row>
    <row r="337" spans="1:6" x14ac:dyDescent="0.2">
      <c r="B337" s="24"/>
    </row>
    <row r="338" spans="1:6" x14ac:dyDescent="0.2">
      <c r="A338" s="1" t="s">
        <v>2836</v>
      </c>
      <c r="B338" s="24"/>
    </row>
    <row r="339" spans="1:6" x14ac:dyDescent="0.2">
      <c r="B339" s="24" t="s">
        <v>2837</v>
      </c>
      <c r="C339" s="24">
        <f>B329</f>
        <v>44926</v>
      </c>
    </row>
    <row r="340" spans="1:6" x14ac:dyDescent="0.2">
      <c r="B340" s="24" t="s">
        <v>2838</v>
      </c>
      <c r="C340" s="24">
        <v>44964</v>
      </c>
    </row>
    <row r="341" spans="1:6" x14ac:dyDescent="0.2">
      <c r="B341" s="24" t="s">
        <v>2839</v>
      </c>
      <c r="C341" s="1">
        <f>C340-C339+1</f>
        <v>39</v>
      </c>
    </row>
    <row r="342" spans="1:6" x14ac:dyDescent="0.2">
      <c r="B342" s="24"/>
    </row>
    <row r="343" spans="1:6" x14ac:dyDescent="0.2">
      <c r="B343" s="24" t="s">
        <v>2840</v>
      </c>
    </row>
    <row r="344" spans="1:6" x14ac:dyDescent="0.2">
      <c r="B344" s="24" t="s">
        <v>2841</v>
      </c>
    </row>
    <row r="346" spans="1:6" x14ac:dyDescent="0.2">
      <c r="D346" s="161">
        <f>F329*1.08^(39/365)</f>
        <v>90.326994266844849</v>
      </c>
      <c r="F346" s="1" t="s">
        <v>2842</v>
      </c>
    </row>
    <row r="347" spans="1:6" x14ac:dyDescent="0.2">
      <c r="D347" s="1" t="s">
        <v>2843</v>
      </c>
    </row>
    <row r="349" spans="1:6" x14ac:dyDescent="0.2">
      <c r="A349" s="1" t="s">
        <v>2844</v>
      </c>
    </row>
    <row r="350" spans="1:6" x14ac:dyDescent="0.2">
      <c r="D350" s="427">
        <f>D346*4.05/3.92</f>
        <v>93.322532342020821</v>
      </c>
      <c r="F350" s="1" t="s">
        <v>2845</v>
      </c>
    </row>
    <row r="351" spans="1:6" x14ac:dyDescent="0.2">
      <c r="D351" s="4" t="s">
        <v>222</v>
      </c>
    </row>
    <row r="352" spans="1:6" x14ac:dyDescent="0.2">
      <c r="D352" s="4" t="s">
        <v>2846</v>
      </c>
    </row>
    <row r="356" spans="1:9" ht="17" thickBot="1" x14ac:dyDescent="0.25"/>
    <row r="357" spans="1:9" ht="22" thickBot="1" x14ac:dyDescent="0.3">
      <c r="A357" s="428" t="s">
        <v>2847</v>
      </c>
      <c r="B357" s="150"/>
      <c r="C357" s="150"/>
      <c r="D357" s="150"/>
      <c r="E357" s="150"/>
      <c r="F357" s="150"/>
      <c r="G357" s="150"/>
      <c r="H357" s="150"/>
      <c r="I357" s="151"/>
    </row>
    <row r="359" spans="1:9" x14ac:dyDescent="0.2">
      <c r="A359" s="4" t="s">
        <v>2848</v>
      </c>
    </row>
    <row r="360" spans="1:9" x14ac:dyDescent="0.2">
      <c r="A360" s="1" t="s">
        <v>2849</v>
      </c>
    </row>
    <row r="361" spans="1:9" x14ac:dyDescent="0.2">
      <c r="A361" s="1" t="s">
        <v>2850</v>
      </c>
    </row>
    <row r="363" spans="1:9" x14ac:dyDescent="0.2">
      <c r="A363" s="4" t="s">
        <v>2851</v>
      </c>
    </row>
    <row r="364" spans="1:9" x14ac:dyDescent="0.2">
      <c r="A364" s="1" t="s">
        <v>2852</v>
      </c>
    </row>
    <row r="366" spans="1:9" x14ac:dyDescent="0.2">
      <c r="A366" s="4" t="s">
        <v>2853</v>
      </c>
    </row>
    <row r="367" spans="1:9" x14ac:dyDescent="0.2">
      <c r="A367" s="1" t="s">
        <v>2854</v>
      </c>
    </row>
    <row r="368" spans="1:9" x14ac:dyDescent="0.2">
      <c r="A368" s="1" t="s">
        <v>2855</v>
      </c>
    </row>
    <row r="370" spans="1:8" x14ac:dyDescent="0.2">
      <c r="A370" s="4" t="s">
        <v>2856</v>
      </c>
    </row>
    <row r="371" spans="1:8" x14ac:dyDescent="0.2">
      <c r="A371" s="1" t="s">
        <v>2857</v>
      </c>
    </row>
    <row r="372" spans="1:8" x14ac:dyDescent="0.2">
      <c r="A372" s="1" t="s">
        <v>2858</v>
      </c>
    </row>
    <row r="374" spans="1:8" x14ac:dyDescent="0.2">
      <c r="A374" s="1" t="s">
        <v>2859</v>
      </c>
    </row>
    <row r="375" spans="1:8" x14ac:dyDescent="0.2">
      <c r="A375" s="1" t="s">
        <v>2860</v>
      </c>
    </row>
    <row r="377" spans="1:8" x14ac:dyDescent="0.2">
      <c r="A377" s="429" t="s">
        <v>2861</v>
      </c>
      <c r="B377" s="429"/>
      <c r="C377" s="429"/>
      <c r="D377" s="429"/>
      <c r="E377" s="429"/>
      <c r="F377" s="429"/>
      <c r="G377" s="429"/>
      <c r="H377" s="429"/>
    </row>
    <row r="378" spans="1:8" x14ac:dyDescent="0.2">
      <c r="A378" s="1" t="s">
        <v>2862</v>
      </c>
    </row>
    <row r="379" spans="1:8" x14ac:dyDescent="0.2">
      <c r="A379" s="1" t="s">
        <v>2863</v>
      </c>
    </row>
    <row r="380" spans="1:8" x14ac:dyDescent="0.2">
      <c r="A380" s="1" t="s">
        <v>2864</v>
      </c>
    </row>
    <row r="382" spans="1:8" x14ac:dyDescent="0.2">
      <c r="A382" s="1" t="s">
        <v>198</v>
      </c>
    </row>
    <row r="383" spans="1:8" x14ac:dyDescent="0.2">
      <c r="C383" s="37" t="s">
        <v>52</v>
      </c>
      <c r="G383" s="1" t="s">
        <v>2866</v>
      </c>
    </row>
    <row r="384" spans="1:8" x14ac:dyDescent="0.2">
      <c r="B384" s="39" t="s">
        <v>35</v>
      </c>
      <c r="C384" s="39" t="s">
        <v>936</v>
      </c>
      <c r="G384" s="1" t="s">
        <v>2867</v>
      </c>
    </row>
    <row r="385" spans="1:8" x14ac:dyDescent="0.2">
      <c r="B385" s="37">
        <v>0</v>
      </c>
      <c r="C385" s="37"/>
    </row>
    <row r="386" spans="1:8" x14ac:dyDescent="0.2">
      <c r="B386" s="37">
        <v>1</v>
      </c>
      <c r="C386" s="37">
        <v>5</v>
      </c>
      <c r="E386" s="1" t="s">
        <v>2868</v>
      </c>
    </row>
    <row r="387" spans="1:8" x14ac:dyDescent="0.2">
      <c r="B387" s="37">
        <v>2</v>
      </c>
      <c r="C387" s="37">
        <v>5</v>
      </c>
      <c r="E387" s="1" t="s">
        <v>2869</v>
      </c>
    </row>
    <row r="388" spans="1:8" x14ac:dyDescent="0.2">
      <c r="B388" s="37" t="s">
        <v>63</v>
      </c>
      <c r="C388" s="37">
        <v>5</v>
      </c>
      <c r="E388" s="1" t="s">
        <v>2870</v>
      </c>
    </row>
    <row r="389" spans="1:8" x14ac:dyDescent="0.2">
      <c r="B389" s="37" t="s">
        <v>63</v>
      </c>
      <c r="C389" s="37">
        <v>5</v>
      </c>
      <c r="E389" s="1" t="s">
        <v>2871</v>
      </c>
    </row>
    <row r="390" spans="1:8" x14ac:dyDescent="0.2">
      <c r="B390" s="158" t="s">
        <v>2865</v>
      </c>
      <c r="C390" s="37">
        <v>5</v>
      </c>
      <c r="E390" s="1" t="s">
        <v>2872</v>
      </c>
    </row>
    <row r="391" spans="1:8" x14ac:dyDescent="0.2">
      <c r="E391" s="13" t="s">
        <v>2875</v>
      </c>
      <c r="F391" s="13"/>
      <c r="G391" s="13"/>
      <c r="H391" s="13"/>
    </row>
    <row r="392" spans="1:8" x14ac:dyDescent="0.2">
      <c r="E392" s="13"/>
      <c r="F392" s="430" t="s">
        <v>582</v>
      </c>
      <c r="G392" s="592" t="s">
        <v>835</v>
      </c>
      <c r="H392" s="13"/>
    </row>
    <row r="393" spans="1:8" x14ac:dyDescent="0.2">
      <c r="E393" s="13"/>
      <c r="F393" s="431" t="s">
        <v>550</v>
      </c>
      <c r="G393" s="592"/>
      <c r="H393" s="13"/>
    </row>
    <row r="395" spans="1:8" x14ac:dyDescent="0.2">
      <c r="E395" s="1" t="s">
        <v>79</v>
      </c>
    </row>
    <row r="396" spans="1:8" x14ac:dyDescent="0.2">
      <c r="E396" s="1" t="s">
        <v>582</v>
      </c>
      <c r="F396" s="1" t="s">
        <v>2873</v>
      </c>
    </row>
    <row r="397" spans="1:8" x14ac:dyDescent="0.2">
      <c r="E397" s="1" t="s">
        <v>550</v>
      </c>
      <c r="F397" s="1" t="s">
        <v>2874</v>
      </c>
    </row>
    <row r="399" spans="1:8" ht="23" x14ac:dyDescent="0.25">
      <c r="A399" s="432" t="s">
        <v>2876</v>
      </c>
      <c r="B399" s="433"/>
      <c r="C399" s="433"/>
      <c r="D399" s="433"/>
      <c r="E399" s="433"/>
      <c r="F399" s="433"/>
      <c r="G399" s="433"/>
      <c r="H399" s="433"/>
    </row>
    <row r="404" spans="1:8" ht="23" x14ac:dyDescent="0.25">
      <c r="A404" s="423" t="s">
        <v>2796</v>
      </c>
      <c r="B404" s="6"/>
      <c r="C404" s="6"/>
      <c r="D404" s="6"/>
      <c r="E404" s="6"/>
      <c r="F404" s="6"/>
      <c r="G404" s="6"/>
      <c r="H404" s="6"/>
    </row>
    <row r="406" spans="1:8" x14ac:dyDescent="0.2">
      <c r="A406" s="81" t="s">
        <v>2747</v>
      </c>
      <c r="B406" s="38"/>
      <c r="C406" s="38"/>
      <c r="D406" s="38"/>
      <c r="E406" s="38"/>
      <c r="F406" s="38"/>
      <c r="G406" s="38"/>
      <c r="H406" s="38"/>
    </row>
    <row r="407" spans="1:8" x14ac:dyDescent="0.2">
      <c r="A407" s="1" t="s">
        <v>2748</v>
      </c>
    </row>
    <row r="408" spans="1:8" x14ac:dyDescent="0.2">
      <c r="A408" s="1" t="s">
        <v>2695</v>
      </c>
    </row>
    <row r="409" spans="1:8" x14ac:dyDescent="0.2">
      <c r="A409" s="1" t="s">
        <v>2696</v>
      </c>
    </row>
    <row r="410" spans="1:8" x14ac:dyDescent="0.2">
      <c r="A410" s="1" t="s">
        <v>2749</v>
      </c>
    </row>
    <row r="411" spans="1:8" x14ac:dyDescent="0.2">
      <c r="A411" s="1" t="s">
        <v>450</v>
      </c>
      <c r="D411" s="1" t="s">
        <v>2790</v>
      </c>
    </row>
    <row r="413" spans="1:8" x14ac:dyDescent="0.2">
      <c r="A413" s="8"/>
      <c r="B413" s="8"/>
      <c r="C413" s="8"/>
      <c r="D413" s="8"/>
      <c r="E413" s="8"/>
      <c r="F413" s="8"/>
      <c r="G413" s="8"/>
      <c r="H413" s="8"/>
    </row>
    <row r="414" spans="1:8" x14ac:dyDescent="0.2">
      <c r="A414" s="81" t="s">
        <v>2752</v>
      </c>
      <c r="B414" s="38"/>
      <c r="C414" s="38"/>
      <c r="D414" s="38"/>
      <c r="E414" s="38"/>
      <c r="F414" s="38"/>
      <c r="G414" s="38"/>
      <c r="H414" s="38"/>
    </row>
    <row r="415" spans="1:8" x14ac:dyDescent="0.2">
      <c r="A415" s="8" t="s">
        <v>2753</v>
      </c>
      <c r="B415" s="8"/>
      <c r="C415" s="8"/>
      <c r="D415" s="8"/>
      <c r="E415" s="8"/>
      <c r="F415" s="8"/>
      <c r="G415" s="8"/>
      <c r="H415" s="8"/>
    </row>
    <row r="416" spans="1:8" x14ac:dyDescent="0.2">
      <c r="A416" s="8" t="s">
        <v>2754</v>
      </c>
      <c r="B416" s="8"/>
      <c r="C416" s="8"/>
      <c r="D416" s="8"/>
      <c r="E416" s="8"/>
      <c r="F416" s="8"/>
      <c r="G416" s="8"/>
      <c r="H416" s="8"/>
    </row>
    <row r="417" spans="1:8" x14ac:dyDescent="0.2">
      <c r="A417" s="8" t="s">
        <v>2755</v>
      </c>
    </row>
    <row r="418" spans="1:8" x14ac:dyDescent="0.2">
      <c r="A418" s="8" t="s">
        <v>2756</v>
      </c>
    </row>
    <row r="419" spans="1:8" x14ac:dyDescent="0.2">
      <c r="A419" s="8" t="s">
        <v>450</v>
      </c>
      <c r="D419" s="1" t="s">
        <v>2791</v>
      </c>
    </row>
    <row r="420" spans="1:8" x14ac:dyDescent="0.2">
      <c r="A420" s="13"/>
    </row>
    <row r="421" spans="1:8" x14ac:dyDescent="0.2">
      <c r="A421" s="81" t="s">
        <v>2760</v>
      </c>
      <c r="B421" s="38"/>
      <c r="C421" s="38"/>
      <c r="D421" s="38"/>
      <c r="E421" s="38"/>
      <c r="F421" s="38"/>
      <c r="G421" s="38"/>
      <c r="H421" s="38"/>
    </row>
    <row r="422" spans="1:8" x14ac:dyDescent="0.2">
      <c r="A422" s="1" t="s">
        <v>451</v>
      </c>
    </row>
    <row r="423" spans="1:8" x14ac:dyDescent="0.2">
      <c r="A423" s="1" t="s">
        <v>2780</v>
      </c>
    </row>
    <row r="424" spans="1:8" x14ac:dyDescent="0.2">
      <c r="A424" s="1" t="s">
        <v>2779</v>
      </c>
    </row>
    <row r="425" spans="1:8" x14ac:dyDescent="0.2">
      <c r="A425" s="1" t="s">
        <v>2700</v>
      </c>
      <c r="D425" s="13"/>
      <c r="E425" s="1" t="s">
        <v>2792</v>
      </c>
    </row>
    <row r="426" spans="1:8" x14ac:dyDescent="0.2">
      <c r="D426" s="13"/>
    </row>
    <row r="427" spans="1:8" x14ac:dyDescent="0.2">
      <c r="A427" s="81" t="s">
        <v>2771</v>
      </c>
      <c r="B427" s="38"/>
      <c r="C427" s="38"/>
      <c r="D427" s="38"/>
      <c r="E427" s="38"/>
      <c r="F427" s="38"/>
      <c r="G427" s="38"/>
      <c r="H427" s="45"/>
    </row>
    <row r="428" spans="1:8" x14ac:dyDescent="0.2">
      <c r="A428" s="1" t="s">
        <v>2729</v>
      </c>
    </row>
    <row r="429" spans="1:8" x14ac:dyDescent="0.2">
      <c r="A429" s="1" t="s">
        <v>2781</v>
      </c>
    </row>
    <row r="430" spans="1:8" x14ac:dyDescent="0.2">
      <c r="A430" s="1" t="s">
        <v>2731</v>
      </c>
    </row>
    <row r="431" spans="1:8" x14ac:dyDescent="0.2">
      <c r="A431" s="1" t="s">
        <v>450</v>
      </c>
      <c r="E431" s="1" t="s">
        <v>2793</v>
      </c>
    </row>
    <row r="433" spans="1:8" x14ac:dyDescent="0.2">
      <c r="A433" s="81" t="s">
        <v>2772</v>
      </c>
      <c r="B433" s="38"/>
      <c r="C433" s="38"/>
      <c r="D433" s="38"/>
      <c r="E433" s="38"/>
      <c r="F433" s="38"/>
      <c r="G433" s="38"/>
      <c r="H433" s="45"/>
    </row>
    <row r="434" spans="1:8" x14ac:dyDescent="0.2">
      <c r="A434" s="1" t="s">
        <v>2782</v>
      </c>
    </row>
    <row r="435" spans="1:8" x14ac:dyDescent="0.2">
      <c r="A435" s="1" t="s">
        <v>2783</v>
      </c>
    </row>
    <row r="436" spans="1:8" x14ac:dyDescent="0.2">
      <c r="A436" s="1" t="s">
        <v>2784</v>
      </c>
    </row>
    <row r="437" spans="1:8" x14ac:dyDescent="0.2">
      <c r="A437" s="1" t="s">
        <v>457</v>
      </c>
    </row>
    <row r="438" spans="1:8" x14ac:dyDescent="0.2">
      <c r="A438" s="1" t="s">
        <v>2785</v>
      </c>
      <c r="E438" s="1" t="s">
        <v>2794</v>
      </c>
    </row>
    <row r="441" spans="1:8" ht="23" x14ac:dyDescent="0.25">
      <c r="A441" s="423" t="s">
        <v>2795</v>
      </c>
      <c r="B441" s="6"/>
      <c r="C441" s="6"/>
      <c r="D441" s="6"/>
      <c r="E441" s="6"/>
      <c r="F441" s="6"/>
      <c r="G441" s="6"/>
      <c r="H441" s="6"/>
    </row>
    <row r="444" spans="1:8" x14ac:dyDescent="0.2">
      <c r="A444" s="81" t="s">
        <v>2747</v>
      </c>
      <c r="B444" s="38"/>
      <c r="C444" s="38"/>
      <c r="D444" s="38"/>
      <c r="E444" s="38"/>
      <c r="F444" s="38"/>
      <c r="G444" s="38"/>
      <c r="H444" s="38"/>
    </row>
    <row r="445" spans="1:8" x14ac:dyDescent="0.2">
      <c r="A445" s="1" t="s">
        <v>2748</v>
      </c>
    </row>
    <row r="446" spans="1:8" x14ac:dyDescent="0.2">
      <c r="A446" s="1" t="s">
        <v>2695</v>
      </c>
    </row>
    <row r="447" spans="1:8" x14ac:dyDescent="0.2">
      <c r="A447" s="1" t="s">
        <v>2696</v>
      </c>
    </row>
    <row r="448" spans="1:8" x14ac:dyDescent="0.2">
      <c r="A448" s="1" t="s">
        <v>2749</v>
      </c>
    </row>
    <row r="449" spans="1:3" x14ac:dyDescent="0.2">
      <c r="A449" s="1" t="s">
        <v>450</v>
      </c>
    </row>
    <row r="451" spans="1:3" x14ac:dyDescent="0.2">
      <c r="A451" s="1" t="s">
        <v>382</v>
      </c>
    </row>
    <row r="453" spans="1:3" x14ac:dyDescent="0.2">
      <c r="A453" s="4" t="s">
        <v>2679</v>
      </c>
    </row>
    <row r="454" spans="1:3" x14ac:dyDescent="0.2">
      <c r="A454" s="1" t="s">
        <v>2680</v>
      </c>
    </row>
    <row r="455" spans="1:3" x14ac:dyDescent="0.2">
      <c r="A455" s="1" t="s">
        <v>2681</v>
      </c>
    </row>
    <row r="457" spans="1:3" x14ac:dyDescent="0.2">
      <c r="A457" s="1" t="s">
        <v>2682</v>
      </c>
    </row>
    <row r="458" spans="1:3" x14ac:dyDescent="0.2">
      <c r="B458" s="1" t="s">
        <v>35</v>
      </c>
      <c r="C458" s="1" t="s">
        <v>52</v>
      </c>
    </row>
    <row r="459" spans="1:3" x14ac:dyDescent="0.2">
      <c r="B459" s="1">
        <v>0</v>
      </c>
    </row>
    <row r="460" spans="1:3" x14ac:dyDescent="0.2">
      <c r="B460" s="1">
        <v>1</v>
      </c>
      <c r="C460" s="1">
        <f>6%*100</f>
        <v>6</v>
      </c>
    </row>
    <row r="461" spans="1:3" x14ac:dyDescent="0.2">
      <c r="B461" s="1">
        <v>2</v>
      </c>
      <c r="C461" s="1">
        <f>C460</f>
        <v>6</v>
      </c>
    </row>
    <row r="462" spans="1:3" x14ac:dyDescent="0.2">
      <c r="B462" s="1">
        <v>3</v>
      </c>
      <c r="C462" s="1">
        <f>C461</f>
        <v>6</v>
      </c>
    </row>
    <row r="463" spans="1:3" x14ac:dyDescent="0.2">
      <c r="B463" s="1">
        <v>4</v>
      </c>
      <c r="C463" s="1">
        <f>C462</f>
        <v>6</v>
      </c>
    </row>
    <row r="464" spans="1:3" x14ac:dyDescent="0.2">
      <c r="B464" s="1">
        <v>5</v>
      </c>
      <c r="C464" s="1">
        <v>106</v>
      </c>
    </row>
    <row r="466" spans="1:8" x14ac:dyDescent="0.2">
      <c r="A466" s="1" t="s">
        <v>2684</v>
      </c>
      <c r="C466" s="11">
        <v>0.03</v>
      </c>
    </row>
    <row r="467" spans="1:8" x14ac:dyDescent="0.2">
      <c r="A467" s="1" t="s">
        <v>2683</v>
      </c>
      <c r="C467" s="161">
        <f>NPV(C466,C460:C464)</f>
        <v>113.73912156158359</v>
      </c>
    </row>
    <row r="469" spans="1:8" x14ac:dyDescent="0.2">
      <c r="A469" s="4" t="s">
        <v>2685</v>
      </c>
    </row>
    <row r="470" spans="1:8" x14ac:dyDescent="0.2">
      <c r="A470" s="1" t="s">
        <v>2686</v>
      </c>
    </row>
    <row r="471" spans="1:8" x14ac:dyDescent="0.2">
      <c r="A471" s="1" t="s">
        <v>2687</v>
      </c>
    </row>
    <row r="472" spans="1:8" ht="17" thickBot="1" x14ac:dyDescent="0.25"/>
    <row r="473" spans="1:8" x14ac:dyDescent="0.2">
      <c r="C473" s="582" t="s">
        <v>2689</v>
      </c>
      <c r="D473" s="583"/>
      <c r="E473" s="586" t="s">
        <v>2691</v>
      </c>
      <c r="F473" s="586"/>
      <c r="G473" s="588" t="s">
        <v>2688</v>
      </c>
      <c r="H473" s="589"/>
    </row>
    <row r="474" spans="1:8" ht="17" thickBot="1" x14ac:dyDescent="0.25">
      <c r="C474" s="584" t="s">
        <v>2690</v>
      </c>
      <c r="D474" s="585"/>
      <c r="E474" s="587"/>
      <c r="F474" s="587"/>
      <c r="G474" s="590"/>
      <c r="H474" s="591"/>
    </row>
    <row r="475" spans="1:8" x14ac:dyDescent="0.2">
      <c r="A475" s="13"/>
    </row>
    <row r="476" spans="1:8" ht="17" thickBot="1" x14ac:dyDescent="0.25">
      <c r="A476" s="8" t="s">
        <v>2692</v>
      </c>
      <c r="B476" s="8"/>
      <c r="C476" s="8"/>
      <c r="D476" s="8"/>
      <c r="E476" s="8"/>
      <c r="F476" s="8"/>
      <c r="G476" s="8"/>
      <c r="H476" s="8"/>
    </row>
    <row r="477" spans="1:8" x14ac:dyDescent="0.2">
      <c r="A477" s="8"/>
      <c r="B477" s="8"/>
      <c r="C477" s="582">
        <v>103.4</v>
      </c>
      <c r="D477" s="583"/>
      <c r="E477" s="586" t="s">
        <v>2750</v>
      </c>
      <c r="F477" s="586"/>
      <c r="G477" s="588" t="s">
        <v>2688</v>
      </c>
      <c r="H477" s="589"/>
    </row>
    <row r="478" spans="1:8" ht="17" thickBot="1" x14ac:dyDescent="0.25">
      <c r="A478" s="8"/>
      <c r="B478" s="8"/>
      <c r="C478" s="584">
        <v>98</v>
      </c>
      <c r="D478" s="585"/>
      <c r="E478" s="587"/>
      <c r="F478" s="587"/>
      <c r="G478" s="590"/>
      <c r="H478" s="591"/>
    </row>
    <row r="479" spans="1:8" x14ac:dyDescent="0.2">
      <c r="A479" s="8"/>
      <c r="B479" s="8"/>
      <c r="C479" s="8"/>
      <c r="D479" s="8"/>
      <c r="E479" s="8"/>
      <c r="F479" s="8"/>
      <c r="G479" s="8"/>
      <c r="H479" s="8"/>
    </row>
    <row r="480" spans="1:8" x14ac:dyDescent="0.2">
      <c r="A480" s="14" t="s">
        <v>2751</v>
      </c>
      <c r="B480" s="8"/>
      <c r="C480" s="8"/>
      <c r="D480" s="418">
        <f>C467*103.4/98</f>
        <v>120.0063792802831</v>
      </c>
      <c r="E480" s="14" t="s">
        <v>287</v>
      </c>
      <c r="F480" s="8"/>
      <c r="G480" s="8"/>
      <c r="H480" s="8"/>
    </row>
    <row r="481" spans="1:8" x14ac:dyDescent="0.2">
      <c r="A481" s="8"/>
      <c r="B481" s="8"/>
      <c r="C481" s="8"/>
      <c r="D481" s="8"/>
      <c r="E481" s="8"/>
      <c r="F481" s="8"/>
      <c r="G481" s="8"/>
      <c r="H481" s="8"/>
    </row>
    <row r="482" spans="1:8" x14ac:dyDescent="0.2">
      <c r="A482" s="8"/>
      <c r="B482" s="8"/>
      <c r="C482" s="8"/>
      <c r="D482" s="8"/>
      <c r="E482" s="8"/>
      <c r="F482" s="8"/>
      <c r="G482" s="8"/>
      <c r="H482" s="8"/>
    </row>
    <row r="483" spans="1:8" x14ac:dyDescent="0.2">
      <c r="A483" s="81" t="s">
        <v>2752</v>
      </c>
      <c r="B483" s="38"/>
      <c r="C483" s="38"/>
      <c r="D483" s="38"/>
      <c r="E483" s="38"/>
      <c r="F483" s="38"/>
      <c r="G483" s="38"/>
      <c r="H483" s="38"/>
    </row>
    <row r="484" spans="1:8" x14ac:dyDescent="0.2">
      <c r="A484" s="8" t="s">
        <v>2753</v>
      </c>
      <c r="B484" s="8"/>
      <c r="C484" s="8"/>
      <c r="D484" s="8"/>
      <c r="E484" s="8"/>
      <c r="F484" s="8"/>
      <c r="G484" s="8"/>
      <c r="H484" s="8"/>
    </row>
    <row r="485" spans="1:8" x14ac:dyDescent="0.2">
      <c r="A485" s="8" t="s">
        <v>2754</v>
      </c>
      <c r="B485" s="8"/>
      <c r="C485" s="8"/>
      <c r="D485" s="8"/>
      <c r="E485" s="8"/>
      <c r="F485" s="8"/>
      <c r="G485" s="8"/>
      <c r="H485" s="8"/>
    </row>
    <row r="486" spans="1:8" x14ac:dyDescent="0.2">
      <c r="A486" s="8" t="s">
        <v>2755</v>
      </c>
    </row>
    <row r="487" spans="1:8" x14ac:dyDescent="0.2">
      <c r="A487" s="8" t="s">
        <v>2756</v>
      </c>
    </row>
    <row r="488" spans="1:8" x14ac:dyDescent="0.2">
      <c r="A488" s="8" t="s">
        <v>450</v>
      </c>
    </row>
    <row r="489" spans="1:8" x14ac:dyDescent="0.2">
      <c r="A489" s="13"/>
    </row>
    <row r="490" spans="1:8" s="8" customFormat="1" x14ac:dyDescent="0.2">
      <c r="A490" s="8" t="s">
        <v>198</v>
      </c>
    </row>
    <row r="491" spans="1:8" s="8" customFormat="1" x14ac:dyDescent="0.2"/>
    <row r="492" spans="1:8" s="8" customFormat="1" x14ac:dyDescent="0.2">
      <c r="B492" s="8" t="s">
        <v>35</v>
      </c>
      <c r="C492" s="8" t="s">
        <v>52</v>
      </c>
    </row>
    <row r="493" spans="1:8" s="8" customFormat="1" x14ac:dyDescent="0.2">
      <c r="A493" s="14"/>
      <c r="B493" s="8">
        <v>0</v>
      </c>
    </row>
    <row r="494" spans="1:8" s="8" customFormat="1" x14ac:dyDescent="0.2">
      <c r="A494" s="14"/>
      <c r="B494" s="8">
        <v>1</v>
      </c>
      <c r="C494" s="8">
        <f>7%*100</f>
        <v>7.0000000000000009</v>
      </c>
    </row>
    <row r="495" spans="1:8" s="8" customFormat="1" x14ac:dyDescent="0.2">
      <c r="A495" s="14"/>
      <c r="B495" s="8">
        <v>2</v>
      </c>
      <c r="C495" s="8">
        <f>7%*100</f>
        <v>7.0000000000000009</v>
      </c>
    </row>
    <row r="496" spans="1:8" s="8" customFormat="1" x14ac:dyDescent="0.2">
      <c r="A496" s="14"/>
      <c r="B496" s="8">
        <v>3</v>
      </c>
      <c r="C496" s="8">
        <f>7%*100</f>
        <v>7.0000000000000009</v>
      </c>
    </row>
    <row r="497" spans="1:8" s="8" customFormat="1" x14ac:dyDescent="0.2">
      <c r="A497" s="14"/>
      <c r="B497" s="8">
        <v>4</v>
      </c>
      <c r="C497" s="8">
        <f>7%*100</f>
        <v>7.0000000000000009</v>
      </c>
    </row>
    <row r="498" spans="1:8" s="8" customFormat="1" x14ac:dyDescent="0.2">
      <c r="A498" s="14"/>
      <c r="B498" s="8">
        <v>5</v>
      </c>
      <c r="C498" s="8">
        <f>7%*100</f>
        <v>7.0000000000000009</v>
      </c>
    </row>
    <row r="499" spans="1:8" s="8" customFormat="1" x14ac:dyDescent="0.2">
      <c r="A499" s="14"/>
      <c r="B499" s="8">
        <v>6</v>
      </c>
      <c r="C499" s="8">
        <v>107</v>
      </c>
    </row>
    <row r="500" spans="1:8" s="8" customFormat="1" x14ac:dyDescent="0.2">
      <c r="A500" s="14"/>
    </row>
    <row r="501" spans="1:8" s="8" customFormat="1" x14ac:dyDescent="0.2">
      <c r="A501" s="14"/>
      <c r="C501" s="82">
        <f>4%</f>
        <v>0.04</v>
      </c>
      <c r="D501" s="8" t="s">
        <v>335</v>
      </c>
    </row>
    <row r="502" spans="1:8" s="8" customFormat="1" x14ac:dyDescent="0.2">
      <c r="A502" s="14"/>
      <c r="C502" s="161">
        <f>NPV(C501,C494:C499)</f>
        <v>115.72641057023903</v>
      </c>
      <c r="D502" s="8" t="s">
        <v>2757</v>
      </c>
    </row>
    <row r="503" spans="1:8" x14ac:dyDescent="0.2">
      <c r="A503" s="13" t="s">
        <v>2759</v>
      </c>
      <c r="B503" s="418">
        <f>C502*111.4/108</f>
        <v>119.36964942152434</v>
      </c>
      <c r="D503" s="1" t="s">
        <v>2758</v>
      </c>
    </row>
    <row r="505" spans="1:8" x14ac:dyDescent="0.2">
      <c r="A505" s="81" t="s">
        <v>2760</v>
      </c>
      <c r="B505" s="38"/>
      <c r="C505" s="38"/>
      <c r="D505" s="38"/>
      <c r="E505" s="38"/>
      <c r="F505" s="38"/>
      <c r="G505" s="38"/>
      <c r="H505" s="38"/>
    </row>
    <row r="506" spans="1:8" x14ac:dyDescent="0.2">
      <c r="A506" s="1" t="s">
        <v>451</v>
      </c>
    </row>
    <row r="507" spans="1:8" x14ac:dyDescent="0.2">
      <c r="A507" s="1" t="s">
        <v>2780</v>
      </c>
    </row>
    <row r="508" spans="1:8" x14ac:dyDescent="0.2">
      <c r="A508" s="1" t="s">
        <v>2779</v>
      </c>
    </row>
    <row r="509" spans="1:8" x14ac:dyDescent="0.2">
      <c r="A509" s="1" t="s">
        <v>2700</v>
      </c>
      <c r="D509" s="13"/>
    </row>
    <row r="510" spans="1:8" x14ac:dyDescent="0.2">
      <c r="D510" s="13"/>
    </row>
    <row r="511" spans="1:8" x14ac:dyDescent="0.2">
      <c r="A511" s="1" t="s">
        <v>198</v>
      </c>
    </row>
    <row r="513" spans="1:8" x14ac:dyDescent="0.2">
      <c r="A513" s="1" t="s">
        <v>2761</v>
      </c>
    </row>
    <row r="514" spans="1:8" x14ac:dyDescent="0.2">
      <c r="A514" s="1" t="s">
        <v>2762</v>
      </c>
    </row>
    <row r="515" spans="1:8" x14ac:dyDescent="0.2">
      <c r="C515" s="161">
        <f>96.5*99/104.8</f>
        <v>91.159351145038173</v>
      </c>
      <c r="D515" s="1" t="s">
        <v>2757</v>
      </c>
    </row>
    <row r="517" spans="1:8" x14ac:dyDescent="0.2">
      <c r="A517" s="1" t="s">
        <v>2763</v>
      </c>
    </row>
    <row r="519" spans="1:8" x14ac:dyDescent="0.2">
      <c r="B519" s="1" t="s">
        <v>35</v>
      </c>
      <c r="C519" s="1" t="s">
        <v>52</v>
      </c>
    </row>
    <row r="520" spans="1:8" x14ac:dyDescent="0.2">
      <c r="B520" s="1">
        <v>0</v>
      </c>
      <c r="C520" s="122">
        <f>-C515</f>
        <v>-91.159351145038173</v>
      </c>
    </row>
    <row r="521" spans="1:8" x14ac:dyDescent="0.2">
      <c r="B521" s="1">
        <v>1</v>
      </c>
      <c r="C521" s="1">
        <f>6%*100</f>
        <v>6</v>
      </c>
    </row>
    <row r="522" spans="1:8" x14ac:dyDescent="0.2">
      <c r="B522" s="1">
        <v>2</v>
      </c>
      <c r="C522" s="1">
        <f>6%*100</f>
        <v>6</v>
      </c>
    </row>
    <row r="523" spans="1:8" x14ac:dyDescent="0.2">
      <c r="B523" s="1">
        <v>3</v>
      </c>
      <c r="C523" s="1">
        <f>6%*100</f>
        <v>6</v>
      </c>
    </row>
    <row r="524" spans="1:8" x14ac:dyDescent="0.2">
      <c r="B524" s="1">
        <v>4</v>
      </c>
      <c r="C524" s="1">
        <f>6%*100</f>
        <v>6</v>
      </c>
    </row>
    <row r="525" spans="1:8" x14ac:dyDescent="0.2">
      <c r="B525" s="1">
        <v>5</v>
      </c>
      <c r="C525" s="1">
        <v>106</v>
      </c>
    </row>
    <row r="526" spans="1:8" x14ac:dyDescent="0.2">
      <c r="A526" s="4" t="s">
        <v>287</v>
      </c>
      <c r="C526" s="419">
        <f>IRR(C520:C525)</f>
        <v>8.2274894141870059E-2</v>
      </c>
      <c r="D526" s="1" t="s">
        <v>2764</v>
      </c>
    </row>
    <row r="528" spans="1:8" x14ac:dyDescent="0.2">
      <c r="A528" s="81" t="s">
        <v>2771</v>
      </c>
      <c r="B528" s="38"/>
      <c r="C528" s="38"/>
      <c r="D528" s="38"/>
      <c r="E528" s="38"/>
      <c r="F528" s="38"/>
      <c r="G528" s="38"/>
      <c r="H528" s="45"/>
    </row>
    <row r="529" spans="1:3" x14ac:dyDescent="0.2">
      <c r="A529" s="1" t="s">
        <v>2729</v>
      </c>
    </row>
    <row r="530" spans="1:3" x14ac:dyDescent="0.2">
      <c r="A530" s="1" t="s">
        <v>2781</v>
      </c>
    </row>
    <row r="531" spans="1:3" x14ac:dyDescent="0.2">
      <c r="A531" s="1" t="s">
        <v>2731</v>
      </c>
    </row>
    <row r="532" spans="1:3" x14ac:dyDescent="0.2">
      <c r="A532" s="1" t="s">
        <v>450</v>
      </c>
    </row>
    <row r="534" spans="1:3" x14ac:dyDescent="0.2">
      <c r="A534" s="1" t="s">
        <v>198</v>
      </c>
    </row>
    <row r="536" spans="1:3" x14ac:dyDescent="0.2">
      <c r="A536" s="4" t="s">
        <v>2679</v>
      </c>
    </row>
    <row r="537" spans="1:3" x14ac:dyDescent="0.2">
      <c r="A537" s="1" t="s">
        <v>2766</v>
      </c>
    </row>
    <row r="539" spans="1:3" x14ac:dyDescent="0.2">
      <c r="B539" s="1" t="s">
        <v>35</v>
      </c>
      <c r="C539" s="1" t="s">
        <v>52</v>
      </c>
    </row>
    <row r="540" spans="1:3" x14ac:dyDescent="0.2">
      <c r="B540" s="1">
        <v>0</v>
      </c>
    </row>
    <row r="541" spans="1:3" x14ac:dyDescent="0.2">
      <c r="B541" s="1">
        <v>1</v>
      </c>
      <c r="C541" s="1">
        <f>5%*100</f>
        <v>5</v>
      </c>
    </row>
    <row r="542" spans="1:3" x14ac:dyDescent="0.2">
      <c r="B542" s="1">
        <v>2</v>
      </c>
      <c r="C542" s="1">
        <f>5%*100</f>
        <v>5</v>
      </c>
    </row>
    <row r="543" spans="1:3" x14ac:dyDescent="0.2">
      <c r="B543" s="1">
        <v>3</v>
      </c>
      <c r="C543" s="1">
        <f>5%*100</f>
        <v>5</v>
      </c>
    </row>
    <row r="544" spans="1:3" x14ac:dyDescent="0.2">
      <c r="B544" s="1">
        <v>4</v>
      </c>
      <c r="C544" s="1">
        <f>5%*100</f>
        <v>5</v>
      </c>
    </row>
    <row r="545" spans="1:8" x14ac:dyDescent="0.2">
      <c r="B545" s="1">
        <v>5</v>
      </c>
      <c r="C545" s="1">
        <f>5%*100</f>
        <v>5</v>
      </c>
    </row>
    <row r="546" spans="1:8" x14ac:dyDescent="0.2">
      <c r="B546" s="1">
        <v>6</v>
      </c>
      <c r="C546" s="1">
        <v>105</v>
      </c>
    </row>
    <row r="548" spans="1:8" x14ac:dyDescent="0.2">
      <c r="C548" s="11">
        <v>0.1</v>
      </c>
      <c r="D548" s="1" t="s">
        <v>2767</v>
      </c>
    </row>
    <row r="549" spans="1:8" x14ac:dyDescent="0.2">
      <c r="C549" s="161">
        <f>NPV(C548,C541:C546)</f>
        <v>78.223696502688824</v>
      </c>
      <c r="D549" s="1" t="s">
        <v>2765</v>
      </c>
    </row>
    <row r="551" spans="1:8" x14ac:dyDescent="0.2">
      <c r="A551" s="4" t="s">
        <v>2685</v>
      </c>
    </row>
    <row r="552" spans="1:8" x14ac:dyDescent="0.2">
      <c r="A552" s="1" t="s">
        <v>2768</v>
      </c>
    </row>
    <row r="553" spans="1:8" x14ac:dyDescent="0.2">
      <c r="A553" s="4" t="s">
        <v>287</v>
      </c>
      <c r="B553" s="4"/>
      <c r="C553" s="420">
        <f>C549*4.1/3.92</f>
        <v>81.815600933934732</v>
      </c>
      <c r="D553" s="1" t="s">
        <v>2769</v>
      </c>
      <c r="E553" s="1" t="s">
        <v>2770</v>
      </c>
    </row>
    <row r="556" spans="1:8" x14ac:dyDescent="0.2">
      <c r="A556" s="81" t="s">
        <v>2772</v>
      </c>
      <c r="B556" s="38"/>
      <c r="C556" s="38"/>
      <c r="D556" s="38"/>
      <c r="E556" s="38"/>
      <c r="F556" s="38"/>
      <c r="G556" s="38"/>
      <c r="H556" s="45"/>
    </row>
    <row r="557" spans="1:8" x14ac:dyDescent="0.2">
      <c r="A557" s="1" t="s">
        <v>2782</v>
      </c>
    </row>
    <row r="558" spans="1:8" x14ac:dyDescent="0.2">
      <c r="A558" s="1" t="s">
        <v>2783</v>
      </c>
    </row>
    <row r="559" spans="1:8" x14ac:dyDescent="0.2">
      <c r="A559" s="1" t="s">
        <v>2784</v>
      </c>
    </row>
    <row r="560" spans="1:8" x14ac:dyDescent="0.2">
      <c r="A560" s="1" t="s">
        <v>457</v>
      </c>
    </row>
    <row r="561" spans="1:13" x14ac:dyDescent="0.2">
      <c r="A561" s="1" t="s">
        <v>2785</v>
      </c>
    </row>
    <row r="563" spans="1:13" x14ac:dyDescent="0.2">
      <c r="A563" s="1" t="s">
        <v>198</v>
      </c>
    </row>
    <row r="565" spans="1:13" x14ac:dyDescent="0.2">
      <c r="A565" s="1" t="s">
        <v>2732</v>
      </c>
    </row>
    <row r="566" spans="1:13" x14ac:dyDescent="0.2">
      <c r="A566" s="1" t="s">
        <v>2733</v>
      </c>
    </row>
    <row r="568" spans="1:13" x14ac:dyDescent="0.2">
      <c r="A568" s="4" t="s">
        <v>2735</v>
      </c>
    </row>
    <row r="570" spans="1:13" x14ac:dyDescent="0.2">
      <c r="A570" s="1" t="s">
        <v>2773</v>
      </c>
      <c r="B570" s="1" t="s">
        <v>35</v>
      </c>
      <c r="C570" s="1" t="s">
        <v>2774</v>
      </c>
    </row>
    <row r="571" spans="1:13" x14ac:dyDescent="0.2">
      <c r="A571" s="24">
        <v>40543</v>
      </c>
      <c r="B571" s="1">
        <v>0</v>
      </c>
    </row>
    <row r="572" spans="1:13" x14ac:dyDescent="0.2">
      <c r="A572" s="24">
        <v>40908</v>
      </c>
      <c r="B572" s="1">
        <v>1</v>
      </c>
      <c r="C572" s="1">
        <v>4</v>
      </c>
    </row>
    <row r="573" spans="1:13" x14ac:dyDescent="0.2">
      <c r="A573" s="24">
        <v>41274</v>
      </c>
      <c r="B573" s="1">
        <v>2</v>
      </c>
      <c r="C573" s="1">
        <v>4</v>
      </c>
      <c r="J573" s="4"/>
    </row>
    <row r="574" spans="1:13" x14ac:dyDescent="0.2">
      <c r="A574" s="24">
        <v>41639</v>
      </c>
      <c r="B574" s="1">
        <v>3</v>
      </c>
      <c r="C574" s="1">
        <v>4</v>
      </c>
      <c r="J574" s="4"/>
    </row>
    <row r="575" spans="1:13" x14ac:dyDescent="0.2">
      <c r="A575" s="24">
        <v>42004</v>
      </c>
      <c r="B575" s="1">
        <v>4</v>
      </c>
      <c r="C575" s="1">
        <v>4</v>
      </c>
    </row>
    <row r="576" spans="1:13" x14ac:dyDescent="0.2">
      <c r="A576" s="24">
        <v>42369</v>
      </c>
      <c r="B576" s="1">
        <v>5</v>
      </c>
      <c r="C576" s="1">
        <v>4</v>
      </c>
      <c r="M576" s="9"/>
    </row>
    <row r="577" spans="1:13" x14ac:dyDescent="0.2">
      <c r="A577" s="24">
        <v>42735</v>
      </c>
      <c r="B577" s="1">
        <v>6</v>
      </c>
      <c r="C577" s="1">
        <v>104</v>
      </c>
      <c r="M577" s="9"/>
    </row>
    <row r="578" spans="1:13" x14ac:dyDescent="0.2">
      <c r="M578" s="8"/>
    </row>
    <row r="579" spans="1:13" x14ac:dyDescent="0.2">
      <c r="C579" s="11">
        <v>0.05</v>
      </c>
      <c r="D579" s="1" t="s">
        <v>2767</v>
      </c>
      <c r="M579" s="8"/>
    </row>
    <row r="580" spans="1:13" x14ac:dyDescent="0.2">
      <c r="A580" s="1" t="s">
        <v>2775</v>
      </c>
      <c r="C580" s="161">
        <f>NPV(C579,C572:C577)</f>
        <v>94.924307932732532</v>
      </c>
      <c r="D580" s="1" t="s">
        <v>2765</v>
      </c>
      <c r="M580" s="8"/>
    </row>
    <row r="581" spans="1:13" x14ac:dyDescent="0.2">
      <c r="M581" s="8"/>
    </row>
    <row r="582" spans="1:13" x14ac:dyDescent="0.2">
      <c r="A582" s="4" t="s">
        <v>2736</v>
      </c>
      <c r="M582" s="417"/>
    </row>
    <row r="583" spans="1:13" x14ac:dyDescent="0.2">
      <c r="M583" s="8"/>
    </row>
    <row r="584" spans="1:13" x14ac:dyDescent="0.2">
      <c r="A584" s="1" t="s">
        <v>2776</v>
      </c>
      <c r="C584" s="161">
        <f>C580</f>
        <v>94.924307932732532</v>
      </c>
      <c r="M584" s="8"/>
    </row>
    <row r="585" spans="1:13" x14ac:dyDescent="0.2">
      <c r="A585" s="1" t="s">
        <v>2777</v>
      </c>
      <c r="C585" s="24">
        <v>40543</v>
      </c>
      <c r="D585" s="24"/>
    </row>
    <row r="586" spans="1:13" x14ac:dyDescent="0.2">
      <c r="A586" s="1" t="s">
        <v>2778</v>
      </c>
      <c r="C586" s="24">
        <v>40616</v>
      </c>
      <c r="J586" s="4"/>
    </row>
    <row r="587" spans="1:13" x14ac:dyDescent="0.2">
      <c r="A587" s="1" t="s">
        <v>2786</v>
      </c>
      <c r="C587" s="1">
        <f>C586-C585+1</f>
        <v>74</v>
      </c>
      <c r="D587" s="1" t="s">
        <v>2787</v>
      </c>
      <c r="J587" s="4"/>
    </row>
    <row r="588" spans="1:13" x14ac:dyDescent="0.2">
      <c r="J588" s="4"/>
    </row>
    <row r="589" spans="1:13" x14ac:dyDescent="0.2">
      <c r="A589" s="1" t="s">
        <v>2788</v>
      </c>
      <c r="C589" s="421">
        <f>C584*(1+5%)^(C587/365)</f>
        <v>95.867930461742475</v>
      </c>
      <c r="D589" s="1" t="s">
        <v>2789</v>
      </c>
      <c r="J589" s="4"/>
    </row>
    <row r="592" spans="1:13" x14ac:dyDescent="0.2">
      <c r="A592" s="4" t="s">
        <v>2737</v>
      </c>
    </row>
    <row r="593" spans="1:12" x14ac:dyDescent="0.2">
      <c r="A593" s="1" t="s">
        <v>287</v>
      </c>
      <c r="C593" s="420">
        <f>C589*4.19/4.11</f>
        <v>97.733972903820188</v>
      </c>
    </row>
    <row r="595" spans="1:12" x14ac:dyDescent="0.2">
      <c r="L595" s="24"/>
    </row>
    <row r="596" spans="1:12" x14ac:dyDescent="0.2">
      <c r="L596" s="24"/>
    </row>
  </sheetData>
  <mergeCells count="20">
    <mergeCell ref="C477:D477"/>
    <mergeCell ref="E477:F478"/>
    <mergeCell ref="G477:H478"/>
    <mergeCell ref="C478:D478"/>
    <mergeCell ref="E76:E77"/>
    <mergeCell ref="G76:G77"/>
    <mergeCell ref="C473:D473"/>
    <mergeCell ref="E473:F474"/>
    <mergeCell ref="G473:H474"/>
    <mergeCell ref="C474:D474"/>
    <mergeCell ref="C143:D143"/>
    <mergeCell ref="E143:F144"/>
    <mergeCell ref="G143:H144"/>
    <mergeCell ref="C144:D144"/>
    <mergeCell ref="H317:H318"/>
    <mergeCell ref="C60:D60"/>
    <mergeCell ref="C61:D61"/>
    <mergeCell ref="E60:F61"/>
    <mergeCell ref="G60:H61"/>
    <mergeCell ref="G392:G393"/>
  </mergeCells>
  <pageMargins left="0.7" right="0.7" top="0.75" bottom="0.75" header="0.3" footer="0.3"/>
  <pageSetup paperSize="9"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70FBD1-E174-BA4E-8B56-FBACAE795511}">
  <dimension ref="A1:K1040"/>
  <sheetViews>
    <sheetView rightToLeft="1" topLeftCell="A744" zoomScale="303" workbookViewId="0">
      <selection activeCell="I817" sqref="I817"/>
    </sheetView>
  </sheetViews>
  <sheetFormatPr baseColWidth="10" defaultColWidth="10.83203125" defaultRowHeight="16" x14ac:dyDescent="0.2"/>
  <cols>
    <col min="1" max="1" width="12" style="1" customWidth="1"/>
    <col min="2" max="2" width="11.83203125" style="1" customWidth="1"/>
    <col min="3" max="9" width="10.83203125" style="1"/>
    <col min="10" max="10" width="10.83203125" style="1" customWidth="1"/>
    <col min="11" max="16384" width="10.83203125" style="1"/>
  </cols>
  <sheetData>
    <row r="1" spans="1:8" x14ac:dyDescent="0.2">
      <c r="A1" s="3" t="s">
        <v>2744</v>
      </c>
      <c r="B1" s="2"/>
      <c r="C1" s="2"/>
      <c r="D1" s="2"/>
      <c r="E1" s="2"/>
      <c r="F1" s="2"/>
      <c r="G1" s="2"/>
      <c r="H1" s="46">
        <v>45635</v>
      </c>
    </row>
    <row r="3" spans="1:8" x14ac:dyDescent="0.2">
      <c r="A3" s="5" t="s">
        <v>378</v>
      </c>
      <c r="B3" s="6"/>
      <c r="C3" s="6"/>
      <c r="D3" s="6"/>
      <c r="E3" s="6"/>
      <c r="F3" s="6"/>
      <c r="G3" s="6"/>
      <c r="H3" s="6"/>
    </row>
    <row r="4" spans="1:8" x14ac:dyDescent="0.2">
      <c r="A4" s="1" t="s">
        <v>527</v>
      </c>
    </row>
    <row r="5" spans="1:8" x14ac:dyDescent="0.2">
      <c r="A5" s="1" t="s">
        <v>528</v>
      </c>
    </row>
    <row r="6" spans="1:8" x14ac:dyDescent="0.2">
      <c r="A6" s="1" t="s">
        <v>529</v>
      </c>
    </row>
    <row r="7" spans="1:8" x14ac:dyDescent="0.2">
      <c r="A7" s="1" t="s">
        <v>530</v>
      </c>
    </row>
    <row r="8" spans="1:8" x14ac:dyDescent="0.2">
      <c r="A8" s="1" t="s">
        <v>531</v>
      </c>
    </row>
    <row r="9" spans="1:8" x14ac:dyDescent="0.2">
      <c r="A9" s="1" t="s">
        <v>532</v>
      </c>
    </row>
    <row r="11" spans="1:8" x14ac:dyDescent="0.2">
      <c r="A11" s="1" t="s">
        <v>533</v>
      </c>
    </row>
    <row r="12" spans="1:8" x14ac:dyDescent="0.2">
      <c r="A12" s="1" t="s">
        <v>534</v>
      </c>
    </row>
    <row r="14" spans="1:8" x14ac:dyDescent="0.2">
      <c r="A14" s="1" t="s">
        <v>535</v>
      </c>
    </row>
    <row r="15" spans="1:8" ht="17" thickBot="1" x14ac:dyDescent="0.25"/>
    <row r="16" spans="1:8" x14ac:dyDescent="0.2">
      <c r="A16" s="57" t="s">
        <v>536</v>
      </c>
      <c r="B16" s="125"/>
      <c r="C16" s="125"/>
      <c r="D16" s="125"/>
      <c r="E16" s="17"/>
      <c r="F16" s="17"/>
      <c r="G16" s="17"/>
      <c r="H16" s="18"/>
    </row>
    <row r="17" spans="1:8" x14ac:dyDescent="0.2">
      <c r="A17" s="126" t="s">
        <v>537</v>
      </c>
      <c r="B17" s="4"/>
      <c r="C17" s="4"/>
      <c r="D17" s="4"/>
      <c r="H17" s="20"/>
    </row>
    <row r="18" spans="1:8" x14ac:dyDescent="0.2">
      <c r="A18" s="126" t="s">
        <v>538</v>
      </c>
      <c r="B18" s="4"/>
      <c r="C18" s="4"/>
      <c r="D18" s="4"/>
      <c r="H18" s="20"/>
    </row>
    <row r="19" spans="1:8" ht="17" thickBot="1" x14ac:dyDescent="0.25">
      <c r="A19" s="127" t="s">
        <v>539</v>
      </c>
      <c r="B19" s="128"/>
      <c r="C19" s="128"/>
      <c r="D19" s="128"/>
      <c r="E19" s="22"/>
      <c r="F19" s="22"/>
      <c r="G19" s="22"/>
      <c r="H19" s="23"/>
    </row>
    <row r="21" spans="1:8" x14ac:dyDescent="0.2">
      <c r="A21" s="5" t="s">
        <v>540</v>
      </c>
      <c r="B21" s="6"/>
      <c r="C21" s="6"/>
      <c r="D21" s="6"/>
      <c r="E21" s="6"/>
      <c r="F21" s="6"/>
      <c r="G21" s="6"/>
      <c r="H21" s="6"/>
    </row>
    <row r="22" spans="1:8" x14ac:dyDescent="0.2">
      <c r="A22" s="1" t="s">
        <v>541</v>
      </c>
    </row>
    <row r="23" spans="1:8" x14ac:dyDescent="0.2">
      <c r="A23" s="1" t="s">
        <v>542</v>
      </c>
    </row>
    <row r="24" spans="1:8" x14ac:dyDescent="0.2">
      <c r="A24" s="1" t="s">
        <v>543</v>
      </c>
    </row>
    <row r="25" spans="1:8" x14ac:dyDescent="0.2">
      <c r="A25"/>
    </row>
    <row r="34" spans="1:8" x14ac:dyDescent="0.2">
      <c r="C34" s="4" t="s">
        <v>544</v>
      </c>
    </row>
    <row r="39" spans="1:8" x14ac:dyDescent="0.2">
      <c r="A39" s="5" t="s">
        <v>545</v>
      </c>
      <c r="B39" s="6"/>
      <c r="C39" s="6"/>
      <c r="D39" s="6"/>
      <c r="E39" s="6"/>
      <c r="F39" s="6"/>
      <c r="G39" s="6"/>
      <c r="H39" s="6"/>
    </row>
    <row r="41" spans="1:8" x14ac:dyDescent="0.2">
      <c r="E41" s="1" t="s">
        <v>546</v>
      </c>
    </row>
    <row r="42" spans="1:8" x14ac:dyDescent="0.2">
      <c r="A42" s="1" t="s">
        <v>547</v>
      </c>
      <c r="E42" s="37" t="s">
        <v>548</v>
      </c>
      <c r="F42" s="1" t="s">
        <v>549</v>
      </c>
    </row>
    <row r="43" spans="1:8" x14ac:dyDescent="0.2">
      <c r="E43" s="37" t="s">
        <v>550</v>
      </c>
      <c r="F43" s="1" t="s">
        <v>551</v>
      </c>
    </row>
    <row r="44" spans="1:8" x14ac:dyDescent="0.2">
      <c r="E44" s="37" t="s">
        <v>552</v>
      </c>
      <c r="F44" s="1" t="s">
        <v>553</v>
      </c>
    </row>
    <row r="45" spans="1:8" x14ac:dyDescent="0.2">
      <c r="E45" s="37" t="s">
        <v>554</v>
      </c>
      <c r="F45" s="1" t="s">
        <v>555</v>
      </c>
    </row>
    <row r="46" spans="1:8" x14ac:dyDescent="0.2">
      <c r="A46" s="1" t="s">
        <v>556</v>
      </c>
      <c r="E46" s="37" t="s">
        <v>557</v>
      </c>
      <c r="F46" s="1" t="s">
        <v>558</v>
      </c>
    </row>
    <row r="47" spans="1:8" x14ac:dyDescent="0.2">
      <c r="E47" s="37" t="s">
        <v>559</v>
      </c>
      <c r="F47" s="1" t="s">
        <v>560</v>
      </c>
    </row>
    <row r="50" spans="1:1" x14ac:dyDescent="0.2">
      <c r="A50" s="1" t="s">
        <v>561</v>
      </c>
    </row>
    <row r="55" spans="1:1" x14ac:dyDescent="0.2">
      <c r="A55" s="1" t="s">
        <v>562</v>
      </c>
    </row>
    <row r="59" spans="1:1" x14ac:dyDescent="0.2">
      <c r="A59" s="1" t="s">
        <v>563</v>
      </c>
    </row>
    <row r="63" spans="1:1" x14ac:dyDescent="0.2">
      <c r="A63" s="1" t="s">
        <v>564</v>
      </c>
    </row>
    <row r="70" spans="1:8" x14ac:dyDescent="0.2">
      <c r="A70" s="1" t="s">
        <v>565</v>
      </c>
    </row>
    <row r="71" spans="1:8" x14ac:dyDescent="0.2">
      <c r="A71" s="1" t="s">
        <v>566</v>
      </c>
    </row>
    <row r="76" spans="1:8" x14ac:dyDescent="0.2">
      <c r="A76" s="153" t="s">
        <v>567</v>
      </c>
      <c r="B76" s="152"/>
      <c r="C76" s="152"/>
      <c r="D76" s="152"/>
      <c r="E76" s="152"/>
      <c r="F76" s="152"/>
      <c r="G76" s="152"/>
      <c r="H76" s="152"/>
    </row>
    <row r="77" spans="1:8" x14ac:dyDescent="0.2">
      <c r="A77" s="1" t="s">
        <v>568</v>
      </c>
    </row>
    <row r="78" spans="1:8" x14ac:dyDescent="0.2">
      <c r="A78" s="1" t="s">
        <v>3530</v>
      </c>
    </row>
    <row r="79" spans="1:8" x14ac:dyDescent="0.2">
      <c r="A79" s="1" t="s">
        <v>569</v>
      </c>
    </row>
    <row r="81" spans="1:8" x14ac:dyDescent="0.2">
      <c r="A81" s="1" t="s">
        <v>282</v>
      </c>
    </row>
    <row r="82" spans="1:8" x14ac:dyDescent="0.2">
      <c r="A82" s="1" t="s">
        <v>570</v>
      </c>
    </row>
    <row r="83" spans="1:8" x14ac:dyDescent="0.2">
      <c r="A83" s="1" t="s">
        <v>571</v>
      </c>
    </row>
    <row r="84" spans="1:8" x14ac:dyDescent="0.2">
      <c r="A84" s="1" t="s">
        <v>572</v>
      </c>
    </row>
    <row r="85" spans="1:8" ht="17" thickBot="1" x14ac:dyDescent="0.25"/>
    <row r="86" spans="1:8" ht="17" thickBot="1" x14ac:dyDescent="0.25">
      <c r="A86" s="148" t="s">
        <v>573</v>
      </c>
      <c r="B86" s="150"/>
      <c r="C86" s="150"/>
      <c r="D86" s="150"/>
      <c r="E86" s="150"/>
      <c r="F86" s="150"/>
      <c r="G86" s="150"/>
      <c r="H86" s="151"/>
    </row>
    <row r="88" spans="1:8" x14ac:dyDescent="0.2">
      <c r="A88" s="1" t="s">
        <v>574</v>
      </c>
    </row>
    <row r="89" spans="1:8" x14ac:dyDescent="0.2">
      <c r="A89" s="1" t="s">
        <v>575</v>
      </c>
    </row>
    <row r="90" spans="1:8" x14ac:dyDescent="0.2">
      <c r="A90" s="1" t="s">
        <v>576</v>
      </c>
    </row>
    <row r="91" spans="1:8" x14ac:dyDescent="0.2">
      <c r="A91" s="1" t="s">
        <v>577</v>
      </c>
    </row>
    <row r="93" spans="1:8" x14ac:dyDescent="0.2">
      <c r="A93" s="1" t="s">
        <v>3531</v>
      </c>
    </row>
    <row r="94" spans="1:8" x14ac:dyDescent="0.2">
      <c r="A94" s="1" t="s">
        <v>3532</v>
      </c>
    </row>
    <row r="96" spans="1:8" x14ac:dyDescent="0.2">
      <c r="D96" s="1" t="s">
        <v>1266</v>
      </c>
    </row>
    <row r="97" spans="1:5" x14ac:dyDescent="0.2">
      <c r="A97" s="1" t="s">
        <v>3540</v>
      </c>
    </row>
    <row r="98" spans="1:5" x14ac:dyDescent="0.2">
      <c r="A98" s="1" t="s">
        <v>3538</v>
      </c>
    </row>
    <row r="99" spans="1:5" x14ac:dyDescent="0.2">
      <c r="A99" s="1" t="s">
        <v>3539</v>
      </c>
    </row>
    <row r="101" spans="1:5" x14ac:dyDescent="0.2">
      <c r="C101" s="1" t="s">
        <v>3534</v>
      </c>
      <c r="E101" s="1" t="s">
        <v>3533</v>
      </c>
    </row>
    <row r="102" spans="1:5" x14ac:dyDescent="0.2">
      <c r="C102" s="1" t="s">
        <v>3535</v>
      </c>
    </row>
    <row r="103" spans="1:5" x14ac:dyDescent="0.2">
      <c r="C103" s="1" t="s">
        <v>3536</v>
      </c>
    </row>
    <row r="104" spans="1:5" x14ac:dyDescent="0.2">
      <c r="C104" s="1" t="s">
        <v>3537</v>
      </c>
    </row>
    <row r="106" spans="1:5" x14ac:dyDescent="0.2">
      <c r="A106" s="1" t="s">
        <v>2887</v>
      </c>
    </row>
    <row r="107" spans="1:5" x14ac:dyDescent="0.2">
      <c r="A107" s="1" t="s">
        <v>3541</v>
      </c>
    </row>
    <row r="108" spans="1:5" x14ac:dyDescent="0.2">
      <c r="A108" s="1" t="s">
        <v>2888</v>
      </c>
    </row>
    <row r="109" spans="1:5" x14ac:dyDescent="0.2">
      <c r="A109" s="1" t="s">
        <v>2889</v>
      </c>
    </row>
    <row r="110" spans="1:5" x14ac:dyDescent="0.2">
      <c r="A110" s="1" t="s">
        <v>2890</v>
      </c>
    </row>
    <row r="112" spans="1:5" x14ac:dyDescent="0.2">
      <c r="C112" s="1" t="s">
        <v>2885</v>
      </c>
      <c r="D112" s="37" t="s">
        <v>2884</v>
      </c>
      <c r="E112" s="37" t="s">
        <v>2286</v>
      </c>
    </row>
    <row r="113" spans="1:6" x14ac:dyDescent="0.2">
      <c r="D113" s="37">
        <v>1</v>
      </c>
      <c r="E113" s="37">
        <v>0</v>
      </c>
    </row>
    <row r="114" spans="1:6" x14ac:dyDescent="0.2">
      <c r="A114" s="1" t="s">
        <v>2886</v>
      </c>
      <c r="C114" s="1" t="s">
        <v>2885</v>
      </c>
      <c r="D114" s="37">
        <f>0.5*1.1</f>
        <v>0.55000000000000004</v>
      </c>
      <c r="E114" s="435">
        <v>0.5</v>
      </c>
      <c r="F114" s="1" t="s">
        <v>2883</v>
      </c>
    </row>
    <row r="122" spans="1:6" x14ac:dyDescent="0.2">
      <c r="A122" s="1" t="s">
        <v>578</v>
      </c>
    </row>
    <row r="124" spans="1:6" x14ac:dyDescent="0.2">
      <c r="A124" s="1" t="s">
        <v>79</v>
      </c>
    </row>
    <row r="125" spans="1:6" x14ac:dyDescent="0.2">
      <c r="B125" s="1" t="s">
        <v>580</v>
      </c>
      <c r="C125" s="1" t="s">
        <v>581</v>
      </c>
    </row>
    <row r="126" spans="1:6" x14ac:dyDescent="0.2">
      <c r="B126" s="1" t="s">
        <v>582</v>
      </c>
      <c r="C126" s="1" t="s">
        <v>583</v>
      </c>
    </row>
    <row r="127" spans="1:6" x14ac:dyDescent="0.2">
      <c r="B127" s="1" t="s">
        <v>550</v>
      </c>
      <c r="C127" s="1" t="s">
        <v>584</v>
      </c>
    </row>
    <row r="128" spans="1:6" x14ac:dyDescent="0.2">
      <c r="B128" s="1" t="s">
        <v>552</v>
      </c>
      <c r="C128" s="1" t="s">
        <v>585</v>
      </c>
    </row>
    <row r="129" spans="1:8" ht="17" thickBot="1" x14ac:dyDescent="0.25"/>
    <row r="130" spans="1:8" ht="17" thickBot="1" x14ac:dyDescent="0.25">
      <c r="A130" s="148" t="s">
        <v>587</v>
      </c>
      <c r="B130" s="150"/>
      <c r="C130" s="150"/>
      <c r="D130" s="150"/>
      <c r="E130" s="150"/>
      <c r="F130" s="150"/>
      <c r="G130" s="150"/>
      <c r="H130" s="151"/>
    </row>
    <row r="131" spans="1:8" x14ac:dyDescent="0.2">
      <c r="A131" s="1" t="s">
        <v>3542</v>
      </c>
    </row>
    <row r="133" spans="1:8" x14ac:dyDescent="0.2">
      <c r="A133" s="1" t="s">
        <v>588</v>
      </c>
    </row>
    <row r="136" spans="1:8" x14ac:dyDescent="0.2">
      <c r="A136" s="1" t="s">
        <v>79</v>
      </c>
      <c r="B136" s="37" t="s">
        <v>557</v>
      </c>
      <c r="C136" s="1" t="s">
        <v>590</v>
      </c>
      <c r="F136" s="1" t="s">
        <v>2891</v>
      </c>
      <c r="G136" s="1" t="s">
        <v>2831</v>
      </c>
    </row>
    <row r="137" spans="1:8" x14ac:dyDescent="0.2">
      <c r="B137" s="37" t="s">
        <v>554</v>
      </c>
      <c r="C137" s="1" t="s">
        <v>3543</v>
      </c>
      <c r="F137" s="1" t="s">
        <v>2891</v>
      </c>
      <c r="G137" s="1">
        <v>0.55000000000000004</v>
      </c>
      <c r="H137" s="1" t="s">
        <v>1659</v>
      </c>
    </row>
    <row r="138" spans="1:8" x14ac:dyDescent="0.2">
      <c r="A138" s="1" t="s">
        <v>2895</v>
      </c>
      <c r="B138" s="37" t="s">
        <v>548</v>
      </c>
      <c r="C138" s="1" t="s">
        <v>592</v>
      </c>
      <c r="F138" s="1" t="s">
        <v>2891</v>
      </c>
      <c r="G138" s="1">
        <v>11</v>
      </c>
    </row>
    <row r="140" spans="1:8" x14ac:dyDescent="0.2">
      <c r="A140" s="1" t="s">
        <v>586</v>
      </c>
    </row>
    <row r="141" spans="1:8" x14ac:dyDescent="0.2">
      <c r="C141" s="116">
        <f>0.55/11</f>
        <v>0.05</v>
      </c>
    </row>
    <row r="143" spans="1:8" x14ac:dyDescent="0.2">
      <c r="A143" s="1" t="s">
        <v>593</v>
      </c>
    </row>
    <row r="145" spans="1:8" x14ac:dyDescent="0.2">
      <c r="A145" s="1" t="s">
        <v>594</v>
      </c>
    </row>
    <row r="149" spans="1:8" x14ac:dyDescent="0.2">
      <c r="A149" s="1" t="s">
        <v>595</v>
      </c>
    </row>
    <row r="150" spans="1:8" x14ac:dyDescent="0.2">
      <c r="A150" s="1" t="s">
        <v>2892</v>
      </c>
    </row>
    <row r="151" spans="1:8" x14ac:dyDescent="0.2">
      <c r="A151" s="1" t="s">
        <v>596</v>
      </c>
    </row>
    <row r="152" spans="1:8" x14ac:dyDescent="0.2">
      <c r="A152" s="1" t="s">
        <v>597</v>
      </c>
    </row>
    <row r="154" spans="1:8" x14ac:dyDescent="0.2">
      <c r="A154" s="1" t="s">
        <v>598</v>
      </c>
    </row>
    <row r="155" spans="1:8" ht="17" thickBot="1" x14ac:dyDescent="0.25"/>
    <row r="156" spans="1:8" ht="17" thickBot="1" x14ac:dyDescent="0.25">
      <c r="A156" s="148" t="s">
        <v>599</v>
      </c>
      <c r="B156" s="150"/>
      <c r="C156" s="150"/>
      <c r="D156" s="150"/>
      <c r="E156" s="150"/>
      <c r="F156" s="150"/>
      <c r="G156" s="150"/>
      <c r="H156" s="151"/>
    </row>
    <row r="158" spans="1:8" x14ac:dyDescent="0.2">
      <c r="A158" s="1" t="s">
        <v>600</v>
      </c>
    </row>
    <row r="159" spans="1:8" x14ac:dyDescent="0.2">
      <c r="A159" s="1" t="s">
        <v>601</v>
      </c>
    </row>
    <row r="162" spans="1:8" x14ac:dyDescent="0.2">
      <c r="A162" s="1" t="s">
        <v>79</v>
      </c>
    </row>
    <row r="163" spans="1:8" x14ac:dyDescent="0.2">
      <c r="B163" s="1" t="s">
        <v>603</v>
      </c>
      <c r="C163" s="1" t="s">
        <v>604</v>
      </c>
      <c r="G163" s="1" t="s">
        <v>2893</v>
      </c>
    </row>
    <row r="164" spans="1:8" x14ac:dyDescent="0.2">
      <c r="A164" s="436" t="s">
        <v>2895</v>
      </c>
      <c r="B164" s="1" t="s">
        <v>548</v>
      </c>
      <c r="C164" s="1" t="s">
        <v>605</v>
      </c>
      <c r="G164" s="1" t="s">
        <v>2894</v>
      </c>
    </row>
    <row r="165" spans="1:8" x14ac:dyDescent="0.2">
      <c r="A165" s="436" t="s">
        <v>2896</v>
      </c>
      <c r="B165" s="1" t="s">
        <v>559</v>
      </c>
      <c r="C165" s="1" t="s">
        <v>3544</v>
      </c>
    </row>
    <row r="167" spans="1:8" x14ac:dyDescent="0.2">
      <c r="E167" s="1" t="s">
        <v>602</v>
      </c>
    </row>
    <row r="169" spans="1:8" x14ac:dyDescent="0.2">
      <c r="A169" s="1" t="s">
        <v>606</v>
      </c>
    </row>
    <row r="170" spans="1:8" x14ac:dyDescent="0.2">
      <c r="C170" s="37">
        <f>11/2.5</f>
        <v>4.4000000000000004</v>
      </c>
      <c r="E170" s="1" t="s">
        <v>607</v>
      </c>
    </row>
    <row r="172" spans="1:8" x14ac:dyDescent="0.2">
      <c r="A172" s="1" t="s">
        <v>608</v>
      </c>
    </row>
    <row r="173" spans="1:8" x14ac:dyDescent="0.2">
      <c r="A173" s="1" t="s">
        <v>609</v>
      </c>
    </row>
    <row r="174" spans="1:8" x14ac:dyDescent="0.2">
      <c r="A174" s="1" t="s">
        <v>610</v>
      </c>
    </row>
    <row r="176" spans="1:8" x14ac:dyDescent="0.2">
      <c r="A176" s="153" t="s">
        <v>611</v>
      </c>
      <c r="B176" s="152"/>
      <c r="C176" s="152"/>
      <c r="D176" s="152"/>
      <c r="E176" s="152"/>
      <c r="F176" s="152"/>
      <c r="G176" s="152"/>
      <c r="H176" s="152"/>
    </row>
    <row r="177" spans="1:6" x14ac:dyDescent="0.2">
      <c r="A177" s="1" t="s">
        <v>2897</v>
      </c>
    </row>
    <row r="178" spans="1:6" x14ac:dyDescent="0.2">
      <c r="A178" s="1" t="s">
        <v>612</v>
      </c>
    </row>
    <row r="179" spans="1:6" x14ac:dyDescent="0.2">
      <c r="A179" s="1" t="s">
        <v>613</v>
      </c>
    </row>
    <row r="181" spans="1:6" x14ac:dyDescent="0.2">
      <c r="A181" s="4" t="s">
        <v>198</v>
      </c>
    </row>
    <row r="183" spans="1:6" x14ac:dyDescent="0.2">
      <c r="D183" s="1" t="s">
        <v>3545</v>
      </c>
      <c r="E183" s="37">
        <v>1</v>
      </c>
      <c r="F183" s="37">
        <v>0</v>
      </c>
    </row>
    <row r="184" spans="1:6" x14ac:dyDescent="0.2">
      <c r="E184" s="37" t="s">
        <v>2899</v>
      </c>
      <c r="F184" s="37" t="s">
        <v>2898</v>
      </c>
    </row>
    <row r="187" spans="1:6" x14ac:dyDescent="0.2">
      <c r="A187" s="1" t="s">
        <v>614</v>
      </c>
    </row>
    <row r="188" spans="1:6" x14ac:dyDescent="0.2">
      <c r="A188" s="1" t="s">
        <v>615</v>
      </c>
    </row>
    <row r="189" spans="1:6" x14ac:dyDescent="0.2">
      <c r="A189" s="1" t="s">
        <v>616</v>
      </c>
    </row>
    <row r="190" spans="1:6" x14ac:dyDescent="0.2">
      <c r="A190" s="1" t="s">
        <v>617</v>
      </c>
    </row>
    <row r="192" spans="1:6" x14ac:dyDescent="0.2">
      <c r="A192" s="1" t="s">
        <v>618</v>
      </c>
      <c r="E192" s="1" t="s">
        <v>579</v>
      </c>
    </row>
    <row r="194" spans="1:8" x14ac:dyDescent="0.2">
      <c r="A194" s="1" t="s">
        <v>79</v>
      </c>
    </row>
    <row r="195" spans="1:8" x14ac:dyDescent="0.2">
      <c r="B195" s="1" t="s">
        <v>580</v>
      </c>
      <c r="C195" s="1" t="s">
        <v>619</v>
      </c>
    </row>
    <row r="196" spans="1:8" x14ac:dyDescent="0.2">
      <c r="B196" s="1" t="s">
        <v>582</v>
      </c>
      <c r="C196" s="1" t="s">
        <v>620</v>
      </c>
    </row>
    <row r="197" spans="1:8" x14ac:dyDescent="0.2">
      <c r="B197" s="1" t="s">
        <v>550</v>
      </c>
      <c r="C197" s="1" t="s">
        <v>621</v>
      </c>
    </row>
    <row r="198" spans="1:8" x14ac:dyDescent="0.2">
      <c r="B198" s="1" t="s">
        <v>552</v>
      </c>
      <c r="C198" s="1" t="s">
        <v>622</v>
      </c>
    </row>
    <row r="200" spans="1:8" x14ac:dyDescent="0.2">
      <c r="A200" s="1" t="s">
        <v>623</v>
      </c>
      <c r="E200" s="1" t="s">
        <v>579</v>
      </c>
    </row>
    <row r="201" spans="1:8" x14ac:dyDescent="0.2">
      <c r="E201" s="1" t="s">
        <v>624</v>
      </c>
    </row>
    <row r="202" spans="1:8" x14ac:dyDescent="0.2">
      <c r="A202" s="1" t="s">
        <v>625</v>
      </c>
    </row>
    <row r="203" spans="1:8" x14ac:dyDescent="0.2">
      <c r="E203" s="1" t="s">
        <v>626</v>
      </c>
      <c r="G203" s="1" t="s">
        <v>3548</v>
      </c>
    </row>
    <row r="204" spans="1:8" x14ac:dyDescent="0.2">
      <c r="A204" s="1" t="s">
        <v>627</v>
      </c>
      <c r="G204" s="1" t="s">
        <v>550</v>
      </c>
      <c r="H204" s="1" t="s">
        <v>3549</v>
      </c>
    </row>
    <row r="205" spans="1:8" x14ac:dyDescent="0.2">
      <c r="E205" s="1" t="s">
        <v>628</v>
      </c>
      <c r="H205" s="1" t="s">
        <v>3550</v>
      </c>
    </row>
    <row r="206" spans="1:8" x14ac:dyDescent="0.2">
      <c r="E206" s="1" t="s">
        <v>629</v>
      </c>
      <c r="H206" s="1" t="s">
        <v>3551</v>
      </c>
    </row>
    <row r="207" spans="1:8" x14ac:dyDescent="0.2">
      <c r="E207" s="1" t="s">
        <v>630</v>
      </c>
      <c r="H207" s="1" t="s">
        <v>3552</v>
      </c>
    </row>
    <row r="208" spans="1:8" x14ac:dyDescent="0.2">
      <c r="G208" s="1" t="s">
        <v>552</v>
      </c>
      <c r="H208" s="1" t="s">
        <v>3553</v>
      </c>
    </row>
    <row r="209" spans="1:8" x14ac:dyDescent="0.2">
      <c r="A209" s="1" t="s">
        <v>631</v>
      </c>
      <c r="H209" s="1" t="s">
        <v>3554</v>
      </c>
    </row>
    <row r="210" spans="1:8" x14ac:dyDescent="0.2">
      <c r="H210" s="1" t="s">
        <v>3555</v>
      </c>
    </row>
    <row r="211" spans="1:8" x14ac:dyDescent="0.2">
      <c r="A211" s="1" t="s">
        <v>632</v>
      </c>
    </row>
    <row r="212" spans="1:8" x14ac:dyDescent="0.2">
      <c r="A212" s="1" t="s">
        <v>3546</v>
      </c>
    </row>
    <row r="213" spans="1:8" x14ac:dyDescent="0.2">
      <c r="A213" s="1" t="s">
        <v>3547</v>
      </c>
    </row>
    <row r="214" spans="1:8" x14ac:dyDescent="0.2">
      <c r="E214" s="1" t="s">
        <v>633</v>
      </c>
    </row>
    <row r="215" spans="1:8" x14ac:dyDescent="0.2">
      <c r="E215" s="1" t="s">
        <v>634</v>
      </c>
    </row>
    <row r="217" spans="1:8" x14ac:dyDescent="0.2">
      <c r="A217" s="153" t="s">
        <v>635</v>
      </c>
      <c r="B217" s="152"/>
      <c r="C217" s="152"/>
      <c r="D217" s="152"/>
      <c r="E217" s="152"/>
      <c r="F217" s="152"/>
      <c r="G217" s="152"/>
      <c r="H217" s="152"/>
    </row>
    <row r="218" spans="1:8" x14ac:dyDescent="0.2">
      <c r="A218" s="1" t="s">
        <v>636</v>
      </c>
    </row>
    <row r="219" spans="1:8" x14ac:dyDescent="0.2">
      <c r="A219" s="1" t="s">
        <v>637</v>
      </c>
    </row>
    <row r="221" spans="1:8" x14ac:dyDescent="0.2">
      <c r="A221" s="1" t="s">
        <v>282</v>
      </c>
    </row>
    <row r="222" spans="1:8" x14ac:dyDescent="0.2">
      <c r="A222" s="1" t="s">
        <v>638</v>
      </c>
    </row>
    <row r="223" spans="1:8" x14ac:dyDescent="0.2">
      <c r="A223" s="1" t="s">
        <v>639</v>
      </c>
    </row>
    <row r="224" spans="1:8" ht="17" thickBot="1" x14ac:dyDescent="0.25"/>
    <row r="225" spans="1:8" ht="17" thickBot="1" x14ac:dyDescent="0.25">
      <c r="A225" s="148" t="s">
        <v>573</v>
      </c>
      <c r="B225" s="150"/>
      <c r="C225" s="150"/>
      <c r="D225" s="150"/>
      <c r="E225" s="150"/>
      <c r="F225" s="150"/>
      <c r="G225" s="150"/>
      <c r="H225" s="151"/>
    </row>
    <row r="227" spans="1:8" x14ac:dyDescent="0.2">
      <c r="A227" s="1" t="s">
        <v>2908</v>
      </c>
      <c r="F227" s="1" t="s">
        <v>2906</v>
      </c>
      <c r="G227" s="1" t="s">
        <v>2907</v>
      </c>
    </row>
    <row r="231" spans="1:8" x14ac:dyDescent="0.2">
      <c r="E231" s="1" t="s">
        <v>2902</v>
      </c>
      <c r="F231" s="37">
        <v>0</v>
      </c>
      <c r="G231" s="37">
        <v>-1</v>
      </c>
    </row>
    <row r="232" spans="1:8" x14ac:dyDescent="0.2">
      <c r="F232" s="37" t="s">
        <v>2900</v>
      </c>
    </row>
    <row r="233" spans="1:8" x14ac:dyDescent="0.2">
      <c r="F233" s="37"/>
    </row>
    <row r="234" spans="1:8" x14ac:dyDescent="0.2">
      <c r="F234" s="37"/>
    </row>
    <row r="235" spans="1:8" x14ac:dyDescent="0.2">
      <c r="F235" s="1" t="s">
        <v>2904</v>
      </c>
      <c r="H235" s="1" t="s">
        <v>2905</v>
      </c>
    </row>
    <row r="237" spans="1:8" x14ac:dyDescent="0.2">
      <c r="A237" s="1" t="s">
        <v>2909</v>
      </c>
    </row>
    <row r="239" spans="1:8" x14ac:dyDescent="0.2">
      <c r="A239" s="1" t="s">
        <v>2901</v>
      </c>
    </row>
    <row r="240" spans="1:8" x14ac:dyDescent="0.2">
      <c r="A240" s="1" t="s">
        <v>2903</v>
      </c>
    </row>
    <row r="242" spans="1:5" x14ac:dyDescent="0.2">
      <c r="A242" s="1" t="s">
        <v>640</v>
      </c>
      <c r="E242" s="1" t="s">
        <v>579</v>
      </c>
    </row>
    <row r="244" spans="1:5" x14ac:dyDescent="0.2">
      <c r="A244" s="1" t="s">
        <v>79</v>
      </c>
    </row>
    <row r="245" spans="1:5" x14ac:dyDescent="0.2">
      <c r="B245" s="1" t="s">
        <v>580</v>
      </c>
      <c r="C245" s="1" t="s">
        <v>641</v>
      </c>
    </row>
    <row r="246" spans="1:5" x14ac:dyDescent="0.2">
      <c r="B246" s="1" t="s">
        <v>582</v>
      </c>
      <c r="C246" s="1" t="s">
        <v>642</v>
      </c>
    </row>
    <row r="247" spans="1:5" x14ac:dyDescent="0.2">
      <c r="B247" s="1" t="s">
        <v>550</v>
      </c>
      <c r="C247" s="1" t="s">
        <v>643</v>
      </c>
    </row>
    <row r="248" spans="1:5" x14ac:dyDescent="0.2">
      <c r="B248" s="1" t="s">
        <v>552</v>
      </c>
      <c r="C248" s="1" t="s">
        <v>644</v>
      </c>
    </row>
    <row r="250" spans="1:5" x14ac:dyDescent="0.2">
      <c r="A250" s="1" t="s">
        <v>645</v>
      </c>
    </row>
    <row r="251" spans="1:5" x14ac:dyDescent="0.2">
      <c r="A251" s="1" t="s">
        <v>646</v>
      </c>
    </row>
    <row r="252" spans="1:5" x14ac:dyDescent="0.2">
      <c r="A252" s="1" t="s">
        <v>647</v>
      </c>
    </row>
    <row r="253" spans="1:5" x14ac:dyDescent="0.2">
      <c r="A253" s="1" t="s">
        <v>648</v>
      </c>
    </row>
    <row r="254" spans="1:5" x14ac:dyDescent="0.2">
      <c r="A254" s="1" t="s">
        <v>649</v>
      </c>
      <c r="E254" s="1" t="s">
        <v>650</v>
      </c>
    </row>
    <row r="257" spans="1:7" x14ac:dyDescent="0.2">
      <c r="B257" s="37" t="s">
        <v>651</v>
      </c>
      <c r="C257" s="37">
        <v>3</v>
      </c>
      <c r="D257" s="37">
        <v>2</v>
      </c>
      <c r="E257" s="37">
        <v>1</v>
      </c>
      <c r="F257" s="37">
        <v>0</v>
      </c>
      <c r="G257" s="37">
        <v>-1</v>
      </c>
    </row>
    <row r="258" spans="1:7" ht="17" thickBot="1" x14ac:dyDescent="0.25">
      <c r="B258" s="37"/>
      <c r="C258" s="37"/>
      <c r="D258" s="37"/>
      <c r="E258" s="37"/>
      <c r="F258" s="37"/>
      <c r="G258" s="37"/>
    </row>
    <row r="259" spans="1:7" ht="17" thickBot="1" x14ac:dyDescent="0.25">
      <c r="B259" s="154">
        <v>2</v>
      </c>
      <c r="C259" s="155">
        <v>2</v>
      </c>
      <c r="D259" s="155">
        <v>2</v>
      </c>
      <c r="E259" s="155">
        <v>2</v>
      </c>
      <c r="F259" s="156">
        <v>2</v>
      </c>
      <c r="G259" s="37" t="s">
        <v>652</v>
      </c>
    </row>
    <row r="263" spans="1:7" x14ac:dyDescent="0.2">
      <c r="G263" s="1" t="s">
        <v>653</v>
      </c>
    </row>
    <row r="265" spans="1:7" x14ac:dyDescent="0.2">
      <c r="A265" s="1" t="s">
        <v>654</v>
      </c>
    </row>
    <row r="266" spans="1:7" x14ac:dyDescent="0.2">
      <c r="A266" s="1" t="s">
        <v>655</v>
      </c>
    </row>
    <row r="267" spans="1:7" x14ac:dyDescent="0.2">
      <c r="E267" s="4"/>
      <c r="F267" s="4"/>
      <c r="G267" s="4" t="s">
        <v>656</v>
      </c>
    </row>
    <row r="269" spans="1:7" x14ac:dyDescent="0.2">
      <c r="A269" s="1" t="s">
        <v>657</v>
      </c>
    </row>
    <row r="270" spans="1:7" x14ac:dyDescent="0.2">
      <c r="A270" s="1" t="s">
        <v>658</v>
      </c>
    </row>
    <row r="272" spans="1:7" x14ac:dyDescent="0.2">
      <c r="B272" s="37" t="s">
        <v>651</v>
      </c>
      <c r="C272" s="37">
        <v>3</v>
      </c>
      <c r="D272" s="37">
        <v>2</v>
      </c>
      <c r="E272" s="37">
        <v>1</v>
      </c>
      <c r="F272" s="565">
        <v>0</v>
      </c>
      <c r="G272" s="565"/>
    </row>
    <row r="273" spans="1:8" ht="17" thickBot="1" x14ac:dyDescent="0.25">
      <c r="B273" s="37"/>
      <c r="C273" s="37"/>
      <c r="D273" s="37"/>
      <c r="E273" s="37"/>
      <c r="F273" s="37"/>
      <c r="G273" s="37"/>
    </row>
    <row r="274" spans="1:8" ht="17" thickBot="1" x14ac:dyDescent="0.25">
      <c r="B274" s="154">
        <v>2</v>
      </c>
      <c r="C274" s="155">
        <v>2</v>
      </c>
      <c r="D274" s="155">
        <v>2</v>
      </c>
      <c r="E274" s="156">
        <v>2</v>
      </c>
      <c r="F274" s="565" t="s">
        <v>659</v>
      </c>
      <c r="G274" s="565"/>
    </row>
    <row r="278" spans="1:8" x14ac:dyDescent="0.2">
      <c r="E278" s="1" t="s">
        <v>660</v>
      </c>
    </row>
    <row r="280" spans="1:8" x14ac:dyDescent="0.2">
      <c r="A280" s="1" t="s">
        <v>661</v>
      </c>
    </row>
    <row r="281" spans="1:8" ht="17" thickBot="1" x14ac:dyDescent="0.25"/>
    <row r="282" spans="1:8" ht="17" thickBot="1" x14ac:dyDescent="0.25">
      <c r="A282" s="148" t="s">
        <v>662</v>
      </c>
      <c r="B282" s="150"/>
      <c r="C282" s="150"/>
      <c r="D282" s="150"/>
      <c r="E282" s="150"/>
      <c r="F282" s="150"/>
      <c r="G282" s="150"/>
      <c r="H282" s="151"/>
    </row>
    <row r="283" spans="1:8" x14ac:dyDescent="0.2">
      <c r="A283" s="1" t="s">
        <v>663</v>
      </c>
    </row>
    <row r="284" spans="1:8" x14ac:dyDescent="0.2">
      <c r="A284" s="1" t="s">
        <v>3556</v>
      </c>
    </row>
    <row r="286" spans="1:8" x14ac:dyDescent="0.2">
      <c r="B286" s="12">
        <f>22*100000000</f>
        <v>2200000000</v>
      </c>
      <c r="E286" s="1" t="s">
        <v>664</v>
      </c>
    </row>
    <row r="288" spans="1:8" x14ac:dyDescent="0.2">
      <c r="A288" s="1" t="s">
        <v>665</v>
      </c>
    </row>
    <row r="290" spans="1:8" x14ac:dyDescent="0.2">
      <c r="A290" s="153" t="s">
        <v>666</v>
      </c>
      <c r="B290" s="152"/>
      <c r="C290" s="152"/>
      <c r="D290" s="152"/>
      <c r="E290" s="152"/>
      <c r="F290" s="152"/>
      <c r="G290" s="152"/>
      <c r="H290" s="152"/>
    </row>
    <row r="291" spans="1:8" x14ac:dyDescent="0.2">
      <c r="A291" s="1" t="s">
        <v>667</v>
      </c>
    </row>
    <row r="292" spans="1:8" x14ac:dyDescent="0.2">
      <c r="A292" s="1" t="s">
        <v>668</v>
      </c>
    </row>
    <row r="294" spans="1:8" x14ac:dyDescent="0.2">
      <c r="A294" s="1" t="s">
        <v>282</v>
      </c>
    </row>
    <row r="295" spans="1:8" x14ac:dyDescent="0.2">
      <c r="A295" s="1" t="s">
        <v>638</v>
      </c>
    </row>
    <row r="296" spans="1:8" x14ac:dyDescent="0.2">
      <c r="A296" s="1" t="s">
        <v>669</v>
      </c>
    </row>
    <row r="297" spans="1:8" x14ac:dyDescent="0.2">
      <c r="A297" s="1" t="s">
        <v>670</v>
      </c>
    </row>
    <row r="298" spans="1:8" ht="17" thickBot="1" x14ac:dyDescent="0.25"/>
    <row r="299" spans="1:8" ht="17" thickBot="1" x14ac:dyDescent="0.25">
      <c r="A299" s="148" t="s">
        <v>671</v>
      </c>
      <c r="B299" s="150"/>
      <c r="C299" s="150"/>
      <c r="D299" s="150"/>
      <c r="E299" s="150"/>
      <c r="F299" s="150"/>
      <c r="G299" s="150"/>
      <c r="H299" s="151"/>
    </row>
    <row r="301" spans="1:8" x14ac:dyDescent="0.2">
      <c r="A301" s="1" t="s">
        <v>588</v>
      </c>
      <c r="E301" s="1" t="s">
        <v>589</v>
      </c>
    </row>
    <row r="303" spans="1:8" x14ac:dyDescent="0.2">
      <c r="A303" s="1" t="s">
        <v>79</v>
      </c>
    </row>
    <row r="304" spans="1:8" x14ac:dyDescent="0.2">
      <c r="B304" s="37" t="s">
        <v>554</v>
      </c>
      <c r="C304" s="1" t="s">
        <v>591</v>
      </c>
    </row>
    <row r="305" spans="1:8" x14ac:dyDescent="0.2">
      <c r="B305" s="37" t="s">
        <v>548</v>
      </c>
      <c r="C305" s="1" t="s">
        <v>672</v>
      </c>
    </row>
    <row r="306" spans="1:8" x14ac:dyDescent="0.2">
      <c r="B306" s="37" t="s">
        <v>557</v>
      </c>
      <c r="C306" s="1" t="s">
        <v>673</v>
      </c>
    </row>
    <row r="308" spans="1:8" x14ac:dyDescent="0.2">
      <c r="A308" s="1" t="s">
        <v>674</v>
      </c>
    </row>
    <row r="309" spans="1:8" x14ac:dyDescent="0.2">
      <c r="A309" s="1" t="s">
        <v>675</v>
      </c>
    </row>
    <row r="310" spans="1:8" x14ac:dyDescent="0.2">
      <c r="A310" s="1" t="s">
        <v>676</v>
      </c>
    </row>
    <row r="311" spans="1:8" x14ac:dyDescent="0.2">
      <c r="A311" s="1" t="s">
        <v>677</v>
      </c>
    </row>
    <row r="313" spans="1:8" x14ac:dyDescent="0.2">
      <c r="E313" s="1" t="s">
        <v>678</v>
      </c>
    </row>
    <row r="314" spans="1:8" x14ac:dyDescent="0.2">
      <c r="E314" s="1" t="s">
        <v>679</v>
      </c>
    </row>
    <row r="316" spans="1:8" x14ac:dyDescent="0.2">
      <c r="A316" s="1" t="s">
        <v>680</v>
      </c>
    </row>
    <row r="317" spans="1:8" ht="17" thickBot="1" x14ac:dyDescent="0.25"/>
    <row r="318" spans="1:8" ht="17" thickBot="1" x14ac:dyDescent="0.25">
      <c r="A318" s="148" t="s">
        <v>681</v>
      </c>
      <c r="B318" s="150"/>
      <c r="C318" s="150"/>
      <c r="D318" s="150"/>
      <c r="E318" s="150"/>
      <c r="F318" s="150"/>
      <c r="G318" s="150"/>
      <c r="H318" s="151"/>
    </row>
    <row r="319" spans="1:8" x14ac:dyDescent="0.2">
      <c r="A319" s="1" t="s">
        <v>2910</v>
      </c>
    </row>
    <row r="320" spans="1:8" x14ac:dyDescent="0.2">
      <c r="A320" s="1" t="s">
        <v>670</v>
      </c>
    </row>
    <row r="322" spans="1:8" x14ac:dyDescent="0.2">
      <c r="A322" s="1" t="s">
        <v>618</v>
      </c>
      <c r="E322" s="1" t="s">
        <v>2911</v>
      </c>
    </row>
    <row r="324" spans="1:8" x14ac:dyDescent="0.2">
      <c r="A324" s="1" t="s">
        <v>79</v>
      </c>
    </row>
    <row r="325" spans="1:8" x14ac:dyDescent="0.2">
      <c r="B325" s="1" t="s">
        <v>580</v>
      </c>
      <c r="C325" s="1" t="s">
        <v>682</v>
      </c>
    </row>
    <row r="326" spans="1:8" x14ac:dyDescent="0.2">
      <c r="B326" s="1" t="s">
        <v>582</v>
      </c>
      <c r="C326" s="1" t="s">
        <v>683</v>
      </c>
    </row>
    <row r="327" spans="1:8" x14ac:dyDescent="0.2">
      <c r="C327" s="1" t="s">
        <v>684</v>
      </c>
      <c r="G327" s="1" t="s">
        <v>2912</v>
      </c>
    </row>
    <row r="328" spans="1:8" x14ac:dyDescent="0.2">
      <c r="B328" s="1" t="s">
        <v>550</v>
      </c>
      <c r="C328" s="1" t="s">
        <v>621</v>
      </c>
    </row>
    <row r="329" spans="1:8" x14ac:dyDescent="0.2">
      <c r="B329" s="1" t="s">
        <v>552</v>
      </c>
      <c r="C329" s="1" t="s">
        <v>685</v>
      </c>
    </row>
    <row r="333" spans="1:8" x14ac:dyDescent="0.2">
      <c r="C333" s="1" t="s">
        <v>3558</v>
      </c>
      <c r="D333" s="37">
        <v>1</v>
      </c>
      <c r="F333" s="37">
        <v>0</v>
      </c>
      <c r="H333" s="1" t="s">
        <v>3559</v>
      </c>
    </row>
    <row r="334" spans="1:8" x14ac:dyDescent="0.2">
      <c r="D334" s="37">
        <f>2*(1+3%)</f>
        <v>2.06</v>
      </c>
      <c r="F334" s="37">
        <v>2</v>
      </c>
      <c r="H334" s="1" t="s">
        <v>3560</v>
      </c>
    </row>
    <row r="335" spans="1:8" x14ac:dyDescent="0.2">
      <c r="F335" s="1" t="s">
        <v>3557</v>
      </c>
      <c r="H335" s="1" t="s">
        <v>3561</v>
      </c>
    </row>
    <row r="336" spans="1:8" x14ac:dyDescent="0.2">
      <c r="F336" s="37" t="s">
        <v>753</v>
      </c>
      <c r="H336" s="1" t="s">
        <v>3562</v>
      </c>
    </row>
    <row r="337" spans="1:8" x14ac:dyDescent="0.2">
      <c r="H337" s="1" t="s">
        <v>3563</v>
      </c>
    </row>
    <row r="339" spans="1:8" x14ac:dyDescent="0.2">
      <c r="H339" s="1" t="s">
        <v>3564</v>
      </c>
    </row>
    <row r="340" spans="1:8" x14ac:dyDescent="0.2">
      <c r="H340" s="1" t="s">
        <v>3565</v>
      </c>
    </row>
    <row r="341" spans="1:8" x14ac:dyDescent="0.2">
      <c r="H341" s="1" t="s">
        <v>3566</v>
      </c>
    </row>
    <row r="342" spans="1:8" x14ac:dyDescent="0.2">
      <c r="A342" s="1" t="s">
        <v>623</v>
      </c>
      <c r="E342" s="1" t="s">
        <v>579</v>
      </c>
      <c r="H342" s="1" t="s">
        <v>3567</v>
      </c>
    </row>
    <row r="343" spans="1:8" x14ac:dyDescent="0.2">
      <c r="E343" s="1" t="s">
        <v>2913</v>
      </c>
      <c r="H343" s="1" t="s">
        <v>3568</v>
      </c>
    </row>
    <row r="344" spans="1:8" x14ac:dyDescent="0.2">
      <c r="A344" s="1" t="s">
        <v>625</v>
      </c>
    </row>
    <row r="345" spans="1:8" x14ac:dyDescent="0.2">
      <c r="E345" s="1" t="s">
        <v>686</v>
      </c>
      <c r="H345" s="1" t="s">
        <v>3569</v>
      </c>
    </row>
    <row r="346" spans="1:8" x14ac:dyDescent="0.2">
      <c r="A346" s="1" t="s">
        <v>627</v>
      </c>
      <c r="H346" s="1" t="s">
        <v>3570</v>
      </c>
    </row>
    <row r="347" spans="1:8" x14ac:dyDescent="0.2">
      <c r="E347" s="1" t="s">
        <v>687</v>
      </c>
    </row>
    <row r="348" spans="1:8" x14ac:dyDescent="0.2">
      <c r="E348" s="1" t="s">
        <v>688</v>
      </c>
    </row>
    <row r="349" spans="1:8" x14ac:dyDescent="0.2">
      <c r="E349" s="1" t="s">
        <v>689</v>
      </c>
    </row>
    <row r="351" spans="1:8" x14ac:dyDescent="0.2">
      <c r="A351" s="1" t="s">
        <v>690</v>
      </c>
    </row>
    <row r="353" spans="1:10" x14ac:dyDescent="0.2">
      <c r="A353" s="153" t="s">
        <v>691</v>
      </c>
      <c r="B353" s="152"/>
      <c r="C353" s="152"/>
      <c r="D353" s="152"/>
      <c r="E353" s="152"/>
      <c r="F353" s="152"/>
      <c r="G353" s="152"/>
      <c r="H353" s="152"/>
    </row>
    <row r="354" spans="1:10" x14ac:dyDescent="0.2">
      <c r="A354" s="1" t="s">
        <v>692</v>
      </c>
    </row>
    <row r="355" spans="1:10" x14ac:dyDescent="0.2">
      <c r="A355" s="1" t="s">
        <v>693</v>
      </c>
    </row>
    <row r="356" spans="1:10" x14ac:dyDescent="0.2">
      <c r="A356" s="1" t="s">
        <v>694</v>
      </c>
    </row>
    <row r="357" spans="1:10" x14ac:dyDescent="0.2">
      <c r="A357" s="1" t="s">
        <v>695</v>
      </c>
    </row>
    <row r="358" spans="1:10" x14ac:dyDescent="0.2">
      <c r="F358" s="8"/>
    </row>
    <row r="359" spans="1:10" x14ac:dyDescent="0.2">
      <c r="A359" s="4" t="s">
        <v>198</v>
      </c>
      <c r="B359" s="8"/>
      <c r="C359" s="8"/>
      <c r="D359" s="570" t="s">
        <v>2916</v>
      </c>
      <c r="E359" s="570"/>
      <c r="F359" s="521" t="s">
        <v>2915</v>
      </c>
      <c r="G359" s="8"/>
      <c r="H359" s="8"/>
    </row>
    <row r="360" spans="1:10" x14ac:dyDescent="0.2">
      <c r="B360" s="8"/>
      <c r="C360" s="8"/>
      <c r="D360" s="8"/>
      <c r="E360" s="8"/>
      <c r="F360" s="8"/>
      <c r="G360" s="8"/>
      <c r="H360" s="8"/>
    </row>
    <row r="361" spans="1:10" x14ac:dyDescent="0.2">
      <c r="B361" s="570" t="s">
        <v>2914</v>
      </c>
      <c r="C361" s="570"/>
      <c r="D361" s="62">
        <v>3</v>
      </c>
      <c r="E361" s="62">
        <v>2</v>
      </c>
      <c r="F361" s="62">
        <v>1</v>
      </c>
      <c r="G361" s="62">
        <v>0</v>
      </c>
      <c r="H361" s="8"/>
    </row>
    <row r="362" spans="1:10" x14ac:dyDescent="0.2">
      <c r="B362" s="8"/>
      <c r="C362" s="62"/>
      <c r="D362" s="62">
        <v>60</v>
      </c>
      <c r="E362" s="62">
        <v>45</v>
      </c>
      <c r="F362" s="62">
        <v>30</v>
      </c>
      <c r="G362" s="62" t="s">
        <v>580</v>
      </c>
      <c r="H362" s="8"/>
      <c r="I362" s="37">
        <v>1</v>
      </c>
      <c r="J362" s="37">
        <v>30</v>
      </c>
    </row>
    <row r="363" spans="1:10" x14ac:dyDescent="0.2">
      <c r="B363" s="8"/>
      <c r="C363" s="8"/>
      <c r="D363" s="8"/>
      <c r="E363" s="62">
        <f>60/6%</f>
        <v>1000</v>
      </c>
      <c r="F363" s="8"/>
      <c r="G363" s="8"/>
      <c r="H363" s="8"/>
      <c r="I363" s="37">
        <v>2</v>
      </c>
      <c r="J363" s="37">
        <v>1045</v>
      </c>
    </row>
    <row r="364" spans="1:10" x14ac:dyDescent="0.2">
      <c r="B364" s="8"/>
      <c r="C364" s="8"/>
      <c r="D364" s="8"/>
      <c r="E364" s="8"/>
      <c r="F364" s="8"/>
      <c r="G364" s="8"/>
      <c r="H364" s="8"/>
    </row>
    <row r="365" spans="1:10" x14ac:dyDescent="0.2">
      <c r="B365" s="8"/>
      <c r="C365" s="8"/>
      <c r="D365" s="8"/>
      <c r="E365" s="8"/>
      <c r="F365" s="8"/>
      <c r="G365" s="8"/>
      <c r="H365" s="8"/>
      <c r="I365" s="37" t="s">
        <v>2918</v>
      </c>
      <c r="J365" s="173">
        <f>NPV(10%,J362:J363)</f>
        <v>890.90909090909076</v>
      </c>
    </row>
    <row r="366" spans="1:10" x14ac:dyDescent="0.2">
      <c r="B366" s="7"/>
      <c r="C366" s="7"/>
      <c r="D366" s="8"/>
      <c r="E366" s="8" t="s">
        <v>2917</v>
      </c>
      <c r="F366" s="7"/>
      <c r="G366" s="7"/>
      <c r="J366" s="37" t="s">
        <v>2280</v>
      </c>
    </row>
    <row r="367" spans="1:10" x14ac:dyDescent="0.2">
      <c r="D367" s="8"/>
      <c r="E367" s="8"/>
    </row>
    <row r="369" spans="1:9" x14ac:dyDescent="0.2">
      <c r="I369" s="1" t="s">
        <v>3571</v>
      </c>
    </row>
    <row r="370" spans="1:9" x14ac:dyDescent="0.2">
      <c r="I370" s="1" t="s">
        <v>3572</v>
      </c>
    </row>
    <row r="371" spans="1:9" x14ac:dyDescent="0.2">
      <c r="I371" s="1" t="s">
        <v>3573</v>
      </c>
    </row>
    <row r="372" spans="1:9" x14ac:dyDescent="0.2">
      <c r="I372" s="1" t="s">
        <v>3574</v>
      </c>
    </row>
    <row r="373" spans="1:9" x14ac:dyDescent="0.2">
      <c r="I373" s="1" t="s">
        <v>3575</v>
      </c>
    </row>
    <row r="374" spans="1:9" x14ac:dyDescent="0.2">
      <c r="I374" s="1" t="s">
        <v>3576</v>
      </c>
    </row>
    <row r="375" spans="1:9" x14ac:dyDescent="0.2">
      <c r="A375" s="1" t="s">
        <v>35</v>
      </c>
      <c r="B375" s="1" t="s">
        <v>696</v>
      </c>
      <c r="I375" s="1" t="s">
        <v>3577</v>
      </c>
    </row>
    <row r="376" spans="1:9" x14ac:dyDescent="0.2">
      <c r="A376" s="1">
        <v>0</v>
      </c>
    </row>
    <row r="377" spans="1:9" x14ac:dyDescent="0.2">
      <c r="A377" s="1">
        <v>1</v>
      </c>
      <c r="B377" s="1">
        <v>30</v>
      </c>
    </row>
    <row r="378" spans="1:9" x14ac:dyDescent="0.2">
      <c r="A378" s="1">
        <v>2</v>
      </c>
      <c r="B378" s="1">
        <v>45</v>
      </c>
    </row>
    <row r="379" spans="1:9" x14ac:dyDescent="0.2">
      <c r="A379" s="1">
        <v>3</v>
      </c>
      <c r="B379" s="1">
        <v>60</v>
      </c>
      <c r="C379" s="1" t="s">
        <v>697</v>
      </c>
    </row>
    <row r="381" spans="1:9" x14ac:dyDescent="0.2">
      <c r="A381" s="1" t="s">
        <v>698</v>
      </c>
    </row>
    <row r="382" spans="1:9" x14ac:dyDescent="0.2">
      <c r="A382" s="1" t="s">
        <v>699</v>
      </c>
    </row>
    <row r="383" spans="1:9" x14ac:dyDescent="0.2">
      <c r="A383" s="1" t="s">
        <v>700</v>
      </c>
    </row>
    <row r="385" spans="1:5" x14ac:dyDescent="0.2">
      <c r="A385" s="1" t="s">
        <v>701</v>
      </c>
    </row>
    <row r="386" spans="1:5" x14ac:dyDescent="0.2">
      <c r="A386" s="1" t="s">
        <v>702</v>
      </c>
    </row>
    <row r="387" spans="1:5" x14ac:dyDescent="0.2">
      <c r="A387" s="1" t="s">
        <v>703</v>
      </c>
    </row>
    <row r="389" spans="1:5" x14ac:dyDescent="0.2">
      <c r="E389" s="1" t="s">
        <v>579</v>
      </c>
    </row>
    <row r="390" spans="1:5" x14ac:dyDescent="0.2">
      <c r="C390" s="12">
        <f>60/0.06</f>
        <v>1000</v>
      </c>
      <c r="E390" s="1" t="s">
        <v>704</v>
      </c>
    </row>
    <row r="392" spans="1:5" x14ac:dyDescent="0.2">
      <c r="A392" s="1" t="s">
        <v>705</v>
      </c>
    </row>
    <row r="393" spans="1:5" x14ac:dyDescent="0.2">
      <c r="A393" s="1" t="s">
        <v>706</v>
      </c>
    </row>
    <row r="394" spans="1:5" x14ac:dyDescent="0.2">
      <c r="A394" s="1" t="s">
        <v>707</v>
      </c>
    </row>
    <row r="395" spans="1:5" x14ac:dyDescent="0.2">
      <c r="A395" s="1" t="s">
        <v>708</v>
      </c>
    </row>
    <row r="398" spans="1:5" x14ac:dyDescent="0.2">
      <c r="C398" s="1" t="s">
        <v>709</v>
      </c>
    </row>
    <row r="399" spans="1:5" x14ac:dyDescent="0.2">
      <c r="C399" s="1" t="s">
        <v>710</v>
      </c>
    </row>
    <row r="400" spans="1:5" x14ac:dyDescent="0.2">
      <c r="C400" s="1" t="s">
        <v>711</v>
      </c>
    </row>
    <row r="401" spans="1:8" x14ac:dyDescent="0.2">
      <c r="A401" s="1" t="s">
        <v>35</v>
      </c>
      <c r="B401" s="1" t="s">
        <v>696</v>
      </c>
      <c r="C401" s="1" t="s">
        <v>712</v>
      </c>
      <c r="D401" s="1" t="s">
        <v>285</v>
      </c>
    </row>
    <row r="402" spans="1:8" x14ac:dyDescent="0.2">
      <c r="A402" s="1">
        <v>0</v>
      </c>
    </row>
    <row r="403" spans="1:8" x14ac:dyDescent="0.2">
      <c r="A403" s="1">
        <v>1</v>
      </c>
      <c r="B403" s="1">
        <v>30</v>
      </c>
      <c r="D403" s="1">
        <f>SUM(B403:C403)</f>
        <v>30</v>
      </c>
    </row>
    <row r="404" spans="1:8" x14ac:dyDescent="0.2">
      <c r="A404" s="1">
        <v>2</v>
      </c>
      <c r="B404" s="1">
        <v>45</v>
      </c>
      <c r="C404" s="12">
        <f>C390</f>
        <v>1000</v>
      </c>
      <c r="D404" s="1">
        <f>SUM(B404:C404)</f>
        <v>1045</v>
      </c>
    </row>
    <row r="405" spans="1:8" x14ac:dyDescent="0.2">
      <c r="A405" s="1">
        <v>3</v>
      </c>
      <c r="B405" s="1" t="s">
        <v>713</v>
      </c>
    </row>
    <row r="407" spans="1:8" x14ac:dyDescent="0.2">
      <c r="A407" s="1" t="s">
        <v>714</v>
      </c>
    </row>
    <row r="409" spans="1:8" x14ac:dyDescent="0.2">
      <c r="D409" s="28">
        <f>NPV(10%,D403:D404)</f>
        <v>890.90909090909076</v>
      </c>
    </row>
    <row r="411" spans="1:8" x14ac:dyDescent="0.2">
      <c r="A411" s="1" t="s">
        <v>715</v>
      </c>
    </row>
    <row r="413" spans="1:8" x14ac:dyDescent="0.2">
      <c r="A413" s="2" t="s">
        <v>3578</v>
      </c>
      <c r="B413" s="2"/>
      <c r="C413" s="2"/>
      <c r="D413" s="2"/>
      <c r="E413" s="2"/>
      <c r="F413" s="2"/>
      <c r="G413" s="2"/>
      <c r="H413" s="2" t="s">
        <v>3606</v>
      </c>
    </row>
    <row r="414" spans="1:8" x14ac:dyDescent="0.2">
      <c r="A414" s="1" t="s">
        <v>3579</v>
      </c>
    </row>
    <row r="415" spans="1:8" x14ac:dyDescent="0.2">
      <c r="A415" s="1" t="s">
        <v>3580</v>
      </c>
    </row>
    <row r="416" spans="1:8" x14ac:dyDescent="0.2">
      <c r="A416" s="1" t="s">
        <v>3581</v>
      </c>
    </row>
    <row r="417" spans="1:7" x14ac:dyDescent="0.2">
      <c r="A417" s="1" t="s">
        <v>916</v>
      </c>
    </row>
    <row r="418" spans="1:7" x14ac:dyDescent="0.2">
      <c r="A418" s="1" t="s">
        <v>3582</v>
      </c>
    </row>
    <row r="420" spans="1:7" x14ac:dyDescent="0.2">
      <c r="A420" s="37"/>
      <c r="B420" s="41" t="s">
        <v>3583</v>
      </c>
      <c r="C420" s="37">
        <v>4</v>
      </c>
      <c r="D420" s="37">
        <v>3</v>
      </c>
      <c r="E420" s="37">
        <v>2</v>
      </c>
      <c r="F420" s="37">
        <v>1</v>
      </c>
      <c r="G420" s="37">
        <v>0</v>
      </c>
    </row>
    <row r="421" spans="1:7" ht="17" thickBot="1" x14ac:dyDescent="0.25">
      <c r="A421" s="37"/>
      <c r="B421" s="37"/>
      <c r="C421" s="37"/>
      <c r="D421" s="37"/>
      <c r="E421" s="37"/>
      <c r="F421" s="37"/>
      <c r="G421" s="37"/>
    </row>
    <row r="422" spans="1:7" x14ac:dyDescent="0.2">
      <c r="A422" s="37"/>
      <c r="B422" s="37"/>
      <c r="C422" s="37">
        <v>250</v>
      </c>
      <c r="D422" s="522">
        <v>180</v>
      </c>
      <c r="E422" s="522">
        <v>90</v>
      </c>
      <c r="F422" s="522">
        <v>80</v>
      </c>
      <c r="G422" s="37" t="s">
        <v>580</v>
      </c>
    </row>
    <row r="423" spans="1:7" ht="17" thickBot="1" x14ac:dyDescent="0.25">
      <c r="D423" s="523">
        <v>2500</v>
      </c>
      <c r="E423" s="507"/>
      <c r="F423" s="507"/>
      <c r="G423" s="37"/>
    </row>
    <row r="429" spans="1:7" x14ac:dyDescent="0.2">
      <c r="F429" s="1">
        <v>1</v>
      </c>
      <c r="G429" s="1">
        <f>F422</f>
        <v>80</v>
      </c>
    </row>
    <row r="430" spans="1:7" x14ac:dyDescent="0.2">
      <c r="F430" s="1">
        <v>2</v>
      </c>
      <c r="G430" s="1">
        <f>E422</f>
        <v>90</v>
      </c>
    </row>
    <row r="431" spans="1:7" x14ac:dyDescent="0.2">
      <c r="F431" s="1">
        <v>3</v>
      </c>
      <c r="G431" s="1">
        <f>D422+D423</f>
        <v>2680</v>
      </c>
    </row>
    <row r="433" spans="1:8" x14ac:dyDescent="0.2">
      <c r="A433" s="1" t="s">
        <v>3585</v>
      </c>
      <c r="G433" s="161">
        <f>NPV(15%,G429:G431)</f>
        <v>1899.7616503657439</v>
      </c>
      <c r="H433" s="1" t="s">
        <v>3584</v>
      </c>
    </row>
    <row r="437" spans="1:8" x14ac:dyDescent="0.2">
      <c r="A437" s="153" t="s">
        <v>716</v>
      </c>
      <c r="B437" s="152"/>
      <c r="C437" s="152"/>
      <c r="D437" s="152"/>
      <c r="E437" s="152"/>
      <c r="F437" s="152"/>
      <c r="G437" s="152" t="s">
        <v>225</v>
      </c>
      <c r="H437" s="152"/>
    </row>
    <row r="438" spans="1:8" x14ac:dyDescent="0.2">
      <c r="A438" s="1" t="s">
        <v>717</v>
      </c>
    </row>
    <row r="439" spans="1:8" x14ac:dyDescent="0.2">
      <c r="A439" s="1" t="s">
        <v>718</v>
      </c>
    </row>
    <row r="440" spans="1:8" x14ac:dyDescent="0.2">
      <c r="A440" s="1" t="s">
        <v>719</v>
      </c>
    </row>
    <row r="442" spans="1:8" x14ac:dyDescent="0.2">
      <c r="A442" s="4" t="s">
        <v>198</v>
      </c>
    </row>
    <row r="443" spans="1:8" x14ac:dyDescent="0.2">
      <c r="A443" s="4"/>
    </row>
    <row r="444" spans="1:8" x14ac:dyDescent="0.2">
      <c r="A444" s="4"/>
      <c r="B444" s="37"/>
      <c r="C444" s="565" t="s">
        <v>2920</v>
      </c>
      <c r="D444" s="565"/>
      <c r="E444" s="37">
        <v>1</v>
      </c>
      <c r="F444" s="37">
        <v>0</v>
      </c>
    </row>
    <row r="445" spans="1:8" x14ac:dyDescent="0.2">
      <c r="A445" s="4"/>
      <c r="B445" s="37"/>
      <c r="C445" s="37"/>
      <c r="D445" s="37"/>
      <c r="E445" s="37" t="s">
        <v>2900</v>
      </c>
      <c r="F445" s="37" t="s">
        <v>2919</v>
      </c>
    </row>
    <row r="446" spans="1:8" x14ac:dyDescent="0.2">
      <c r="A446" s="4"/>
    </row>
    <row r="447" spans="1:8" x14ac:dyDescent="0.2">
      <c r="A447" s="4"/>
    </row>
    <row r="448" spans="1:8" x14ac:dyDescent="0.2">
      <c r="A448" s="4"/>
    </row>
    <row r="449" spans="1:6" x14ac:dyDescent="0.2">
      <c r="A449" s="4"/>
      <c r="F449" s="1" t="s">
        <v>2921</v>
      </c>
    </row>
    <row r="450" spans="1:6" x14ac:dyDescent="0.2">
      <c r="A450" s="1" t="s">
        <v>720</v>
      </c>
    </row>
    <row r="451" spans="1:6" x14ac:dyDescent="0.2">
      <c r="E451" s="1" t="s">
        <v>579</v>
      </c>
    </row>
    <row r="452" spans="1:6" x14ac:dyDescent="0.2">
      <c r="E452" s="1" t="s">
        <v>721</v>
      </c>
    </row>
    <row r="453" spans="1:6" x14ac:dyDescent="0.2">
      <c r="E453" s="1" t="s">
        <v>722</v>
      </c>
    </row>
    <row r="454" spans="1:6" x14ac:dyDescent="0.2">
      <c r="E454" s="1" t="s">
        <v>723</v>
      </c>
    </row>
    <row r="455" spans="1:6" x14ac:dyDescent="0.2">
      <c r="E455" s="1" t="s">
        <v>724</v>
      </c>
    </row>
    <row r="456" spans="1:6" x14ac:dyDescent="0.2">
      <c r="E456" s="1" t="s">
        <v>725</v>
      </c>
    </row>
    <row r="458" spans="1:6" x14ac:dyDescent="0.2">
      <c r="A458" s="1" t="s">
        <v>726</v>
      </c>
    </row>
    <row r="460" spans="1:6" x14ac:dyDescent="0.2">
      <c r="A460" s="1" t="s">
        <v>727</v>
      </c>
    </row>
    <row r="461" spans="1:6" x14ac:dyDescent="0.2">
      <c r="E461" s="1" t="s">
        <v>728</v>
      </c>
    </row>
    <row r="466" spans="1:8" x14ac:dyDescent="0.2">
      <c r="A466" s="153" t="s">
        <v>729</v>
      </c>
      <c r="B466" s="152"/>
      <c r="C466" s="152"/>
      <c r="D466" s="152" t="s">
        <v>3586</v>
      </c>
      <c r="E466" s="152"/>
      <c r="F466" s="152"/>
      <c r="G466" s="152"/>
      <c r="H466" s="152"/>
    </row>
    <row r="467" spans="1:8" x14ac:dyDescent="0.2">
      <c r="A467" s="1" t="s">
        <v>730</v>
      </c>
    </row>
    <row r="468" spans="1:8" x14ac:dyDescent="0.2">
      <c r="A468" s="1" t="s">
        <v>731</v>
      </c>
    </row>
    <row r="469" spans="1:8" x14ac:dyDescent="0.2">
      <c r="A469" s="1" t="s">
        <v>732</v>
      </c>
    </row>
    <row r="474" spans="1:8" x14ac:dyDescent="0.2">
      <c r="F474" s="1" t="s">
        <v>2906</v>
      </c>
    </row>
    <row r="475" spans="1:8" x14ac:dyDescent="0.2">
      <c r="F475" s="565" t="s">
        <v>2907</v>
      </c>
      <c r="G475" s="565"/>
    </row>
    <row r="477" spans="1:8" x14ac:dyDescent="0.2">
      <c r="A477" s="4" t="s">
        <v>198</v>
      </c>
    </row>
    <row r="478" spans="1:8" x14ac:dyDescent="0.2">
      <c r="A478" s="4"/>
    </row>
    <row r="479" spans="1:8" x14ac:dyDescent="0.2">
      <c r="E479" s="1" t="s">
        <v>2922</v>
      </c>
      <c r="F479" s="37">
        <v>0</v>
      </c>
      <c r="G479" s="37">
        <v>-1</v>
      </c>
    </row>
    <row r="481" spans="1:9" x14ac:dyDescent="0.2">
      <c r="F481" s="37">
        <v>2</v>
      </c>
    </row>
    <row r="482" spans="1:9" x14ac:dyDescent="0.2">
      <c r="I482" s="4" t="s">
        <v>521</v>
      </c>
    </row>
    <row r="485" spans="1:9" x14ac:dyDescent="0.2">
      <c r="F485" s="565" t="s">
        <v>2923</v>
      </c>
      <c r="G485" s="565"/>
    </row>
    <row r="486" spans="1:9" x14ac:dyDescent="0.2">
      <c r="F486" s="1" t="s">
        <v>2924</v>
      </c>
    </row>
    <row r="488" spans="1:9" x14ac:dyDescent="0.2">
      <c r="A488" s="1" t="s">
        <v>2928</v>
      </c>
    </row>
    <row r="490" spans="1:9" x14ac:dyDescent="0.2">
      <c r="A490" s="4"/>
      <c r="E490" s="1" t="s">
        <v>2922</v>
      </c>
    </row>
    <row r="491" spans="1:9" x14ac:dyDescent="0.2">
      <c r="E491" s="37">
        <v>1</v>
      </c>
      <c r="F491" s="37">
        <v>0</v>
      </c>
      <c r="G491" s="37"/>
    </row>
    <row r="493" spans="1:9" x14ac:dyDescent="0.2">
      <c r="E493" s="37">
        <f>2*(1+5%)</f>
        <v>2.1</v>
      </c>
      <c r="F493" s="37">
        <v>2</v>
      </c>
      <c r="G493" s="563" t="s">
        <v>2927</v>
      </c>
    </row>
    <row r="494" spans="1:9" x14ac:dyDescent="0.2">
      <c r="F494" s="37">
        <f>2.1/5%</f>
        <v>42</v>
      </c>
      <c r="G494" s="563"/>
    </row>
    <row r="497" spans="1:7" x14ac:dyDescent="0.2">
      <c r="F497" s="565"/>
      <c r="G497" s="565"/>
    </row>
    <row r="498" spans="1:7" x14ac:dyDescent="0.2">
      <c r="E498" s="565" t="s">
        <v>2926</v>
      </c>
      <c r="F498" s="565"/>
    </row>
    <row r="500" spans="1:7" x14ac:dyDescent="0.2">
      <c r="A500" s="1" t="s">
        <v>2925</v>
      </c>
    </row>
    <row r="502" spans="1:7" x14ac:dyDescent="0.2">
      <c r="A502" s="1" t="s">
        <v>733</v>
      </c>
    </row>
    <row r="503" spans="1:7" x14ac:dyDescent="0.2">
      <c r="A503" s="1" t="s">
        <v>734</v>
      </c>
    </row>
    <row r="505" spans="1:7" x14ac:dyDescent="0.2">
      <c r="A505" s="1" t="s">
        <v>735</v>
      </c>
    </row>
    <row r="506" spans="1:7" x14ac:dyDescent="0.2">
      <c r="A506" s="1" t="s">
        <v>736</v>
      </c>
    </row>
    <row r="507" spans="1:7" x14ac:dyDescent="0.2">
      <c r="A507" s="1" t="s">
        <v>737</v>
      </c>
    </row>
    <row r="509" spans="1:7" x14ac:dyDescent="0.2">
      <c r="A509" s="1" t="s">
        <v>738</v>
      </c>
    </row>
    <row r="511" spans="1:7" x14ac:dyDescent="0.2">
      <c r="D511" s="1">
        <f>2/0.05*1.1</f>
        <v>44</v>
      </c>
      <c r="F511" s="1" t="s">
        <v>739</v>
      </c>
    </row>
    <row r="513" spans="1:8" x14ac:dyDescent="0.2">
      <c r="A513" s="1" t="s">
        <v>740</v>
      </c>
    </row>
    <row r="514" spans="1:8" x14ac:dyDescent="0.2">
      <c r="A514" s="1" t="s">
        <v>741</v>
      </c>
    </row>
    <row r="515" spans="1:8" x14ac:dyDescent="0.2">
      <c r="D515" s="1">
        <f>2.1/0.05+2</f>
        <v>44</v>
      </c>
      <c r="F515" s="1" t="s">
        <v>742</v>
      </c>
    </row>
    <row r="517" spans="1:8" x14ac:dyDescent="0.2">
      <c r="A517" s="1" t="s">
        <v>743</v>
      </c>
    </row>
    <row r="519" spans="1:8" x14ac:dyDescent="0.2">
      <c r="A519" s="3" t="s">
        <v>3607</v>
      </c>
      <c r="B519" s="3"/>
      <c r="C519" s="3"/>
      <c r="D519" s="3"/>
      <c r="E519" s="3"/>
      <c r="F519" s="3"/>
      <c r="G519" s="3"/>
      <c r="H519" s="3" t="s">
        <v>225</v>
      </c>
    </row>
    <row r="521" spans="1:8" x14ac:dyDescent="0.2">
      <c r="A521" s="1" t="s">
        <v>2929</v>
      </c>
    </row>
    <row r="522" spans="1:8" x14ac:dyDescent="0.2">
      <c r="A522" s="1" t="s">
        <v>2930</v>
      </c>
    </row>
    <row r="523" spans="1:8" x14ac:dyDescent="0.2">
      <c r="A523" s="1" t="s">
        <v>2931</v>
      </c>
    </row>
    <row r="524" spans="1:8" x14ac:dyDescent="0.2">
      <c r="A524" s="1" t="s">
        <v>2932</v>
      </c>
    </row>
    <row r="526" spans="1:8" x14ac:dyDescent="0.2">
      <c r="A526" s="1" t="s">
        <v>198</v>
      </c>
    </row>
    <row r="527" spans="1:8" x14ac:dyDescent="0.2">
      <c r="A527" s="1" t="s">
        <v>2936</v>
      </c>
    </row>
    <row r="528" spans="1:8" x14ac:dyDescent="0.2">
      <c r="A528" s="1" t="s">
        <v>2937</v>
      </c>
    </row>
    <row r="529" spans="1:11" x14ac:dyDescent="0.2">
      <c r="A529" s="1" t="s">
        <v>2938</v>
      </c>
    </row>
    <row r="530" spans="1:11" x14ac:dyDescent="0.2">
      <c r="A530" s="1" t="s">
        <v>2939</v>
      </c>
    </row>
    <row r="531" spans="1:11" x14ac:dyDescent="0.2">
      <c r="A531" s="1" t="s">
        <v>2940</v>
      </c>
    </row>
    <row r="533" spans="1:11" x14ac:dyDescent="0.2">
      <c r="D533" s="11">
        <v>0.08</v>
      </c>
      <c r="E533" s="11">
        <v>0.08</v>
      </c>
      <c r="F533" s="11">
        <v>0.08</v>
      </c>
      <c r="G533" s="11">
        <v>0.08</v>
      </c>
      <c r="I533" s="1" t="s">
        <v>2941</v>
      </c>
    </row>
    <row r="534" spans="1:11" x14ac:dyDescent="0.2">
      <c r="B534" s="1" t="s">
        <v>2934</v>
      </c>
    </row>
    <row r="535" spans="1:11" x14ac:dyDescent="0.2">
      <c r="B535" s="1" t="s">
        <v>2935</v>
      </c>
      <c r="C535" s="431">
        <v>3</v>
      </c>
      <c r="D535" s="37">
        <v>2</v>
      </c>
      <c r="E535" s="37">
        <v>1</v>
      </c>
      <c r="F535" s="37">
        <v>0</v>
      </c>
      <c r="G535" s="37">
        <v>-1</v>
      </c>
      <c r="I535" s="1" t="s">
        <v>35</v>
      </c>
      <c r="J535" s="1" t="s">
        <v>2942</v>
      </c>
    </row>
    <row r="536" spans="1:11" x14ac:dyDescent="0.2">
      <c r="I536" s="1">
        <v>0</v>
      </c>
      <c r="J536" s="37">
        <f>F537</f>
        <v>10.8</v>
      </c>
    </row>
    <row r="537" spans="1:11" x14ac:dyDescent="0.2">
      <c r="C537" s="37">
        <f>D537*1.08</f>
        <v>13.604889600000003</v>
      </c>
      <c r="D537" s="37">
        <f>E537*1.08</f>
        <v>12.597120000000002</v>
      </c>
      <c r="E537" s="37">
        <f>10.8*1.08</f>
        <v>11.664000000000001</v>
      </c>
      <c r="F537" s="37">
        <f>10*1.08</f>
        <v>10.8</v>
      </c>
      <c r="G537" s="37" t="s">
        <v>2933</v>
      </c>
      <c r="I537" s="1">
        <v>1</v>
      </c>
      <c r="J537" s="37">
        <f>E537</f>
        <v>11.664000000000001</v>
      </c>
    </row>
    <row r="538" spans="1:11" x14ac:dyDescent="0.2">
      <c r="D538" s="37">
        <f>C537/12%</f>
        <v>113.37408000000003</v>
      </c>
      <c r="I538" s="1">
        <v>2</v>
      </c>
      <c r="J538" s="37">
        <f>D537+D538</f>
        <v>125.97120000000004</v>
      </c>
    </row>
    <row r="540" spans="1:11" x14ac:dyDescent="0.2">
      <c r="J540" s="40">
        <v>0.18</v>
      </c>
      <c r="K540" s="1" t="s">
        <v>909</v>
      </c>
    </row>
    <row r="541" spans="1:11" x14ac:dyDescent="0.2">
      <c r="J541" s="437">
        <f>NPV(J540,J537:J538)+J536</f>
        <v>111.15530020109168</v>
      </c>
      <c r="K541" s="1" t="s">
        <v>1849</v>
      </c>
    </row>
    <row r="542" spans="1:11" x14ac:dyDescent="0.2">
      <c r="C542" s="1" t="s">
        <v>2943</v>
      </c>
      <c r="J542" s="4" t="s">
        <v>2944</v>
      </c>
    </row>
    <row r="546" spans="1:8" x14ac:dyDescent="0.2">
      <c r="A546" s="153" t="s">
        <v>2877</v>
      </c>
      <c r="B546" s="152"/>
      <c r="C546" s="152"/>
      <c r="D546" s="152"/>
      <c r="E546" s="152"/>
      <c r="F546" s="152"/>
      <c r="G546" s="152"/>
      <c r="H546" s="152"/>
    </row>
    <row r="547" spans="1:8" x14ac:dyDescent="0.2">
      <c r="A547" s="1" t="s">
        <v>744</v>
      </c>
    </row>
    <row r="548" spans="1:8" x14ac:dyDescent="0.2">
      <c r="A548" s="1" t="s">
        <v>745</v>
      </c>
    </row>
    <row r="550" spans="1:8" x14ac:dyDescent="0.2">
      <c r="A550" s="1" t="s">
        <v>198</v>
      </c>
      <c r="E550" s="1" t="s">
        <v>746</v>
      </c>
    </row>
    <row r="552" spans="1:8" x14ac:dyDescent="0.2">
      <c r="A552" s="1" t="s">
        <v>79</v>
      </c>
    </row>
    <row r="553" spans="1:8" x14ac:dyDescent="0.2">
      <c r="B553" s="1" t="s">
        <v>603</v>
      </c>
      <c r="C553" s="1" t="s">
        <v>747</v>
      </c>
    </row>
    <row r="554" spans="1:8" x14ac:dyDescent="0.2">
      <c r="B554" s="1" t="s">
        <v>580</v>
      </c>
      <c r="C554" s="1" t="s">
        <v>748</v>
      </c>
    </row>
    <row r="555" spans="1:8" x14ac:dyDescent="0.2">
      <c r="B555" s="1" t="s">
        <v>559</v>
      </c>
      <c r="C555" s="1" t="s">
        <v>749</v>
      </c>
    </row>
    <row r="557" spans="1:8" x14ac:dyDescent="0.2">
      <c r="A557" s="1" t="s">
        <v>750</v>
      </c>
      <c r="E557" s="1" t="s">
        <v>751</v>
      </c>
    </row>
    <row r="558" spans="1:8" x14ac:dyDescent="0.2">
      <c r="E558" s="1" t="s">
        <v>752</v>
      </c>
    </row>
    <row r="559" spans="1:8" x14ac:dyDescent="0.2">
      <c r="C559" s="1" t="s">
        <v>245</v>
      </c>
      <c r="E559" s="2" t="s">
        <v>753</v>
      </c>
    </row>
    <row r="561" spans="1:8" x14ac:dyDescent="0.2">
      <c r="A561" s="1" t="s">
        <v>754</v>
      </c>
    </row>
    <row r="562" spans="1:8" x14ac:dyDescent="0.2">
      <c r="E562" s="1" t="s">
        <v>755</v>
      </c>
    </row>
    <row r="566" spans="1:8" x14ac:dyDescent="0.2">
      <c r="A566" s="153" t="s">
        <v>2878</v>
      </c>
      <c r="B566" s="152"/>
      <c r="C566" s="152"/>
      <c r="D566" s="152"/>
      <c r="E566" s="152"/>
      <c r="F566" s="152"/>
      <c r="G566" s="152"/>
      <c r="H566" s="152"/>
    </row>
    <row r="567" spans="1:8" x14ac:dyDescent="0.2">
      <c r="A567" s="1" t="s">
        <v>756</v>
      </c>
    </row>
    <row r="568" spans="1:8" x14ac:dyDescent="0.2">
      <c r="A568" s="1" t="s">
        <v>757</v>
      </c>
    </row>
    <row r="569" spans="1:8" x14ac:dyDescent="0.2">
      <c r="A569" s="1" t="s">
        <v>758</v>
      </c>
    </row>
    <row r="571" spans="1:8" x14ac:dyDescent="0.2">
      <c r="A571" s="1" t="s">
        <v>198</v>
      </c>
    </row>
    <row r="572" spans="1:8" x14ac:dyDescent="0.2">
      <c r="A572" s="1" t="s">
        <v>759</v>
      </c>
    </row>
    <row r="573" spans="1:8" x14ac:dyDescent="0.2">
      <c r="A573" s="1" t="s">
        <v>760</v>
      </c>
    </row>
    <row r="575" spans="1:8" x14ac:dyDescent="0.2">
      <c r="A575" s="1" t="s">
        <v>761</v>
      </c>
    </row>
    <row r="576" spans="1:8" x14ac:dyDescent="0.2">
      <c r="A576" s="1" t="s">
        <v>762</v>
      </c>
      <c r="H576" s="1" t="s">
        <v>763</v>
      </c>
    </row>
    <row r="577" spans="1:6" x14ac:dyDescent="0.2">
      <c r="E577" s="37">
        <v>0</v>
      </c>
      <c r="F577" s="37">
        <v>-1</v>
      </c>
    </row>
    <row r="578" spans="1:6" x14ac:dyDescent="0.2">
      <c r="F578" s="37"/>
    </row>
    <row r="579" spans="1:6" x14ac:dyDescent="0.2">
      <c r="E579" s="158" t="s">
        <v>764</v>
      </c>
      <c r="F579" s="157">
        <v>10</v>
      </c>
    </row>
    <row r="580" spans="1:6" x14ac:dyDescent="0.2">
      <c r="F580" s="1" t="s">
        <v>765</v>
      </c>
    </row>
    <row r="581" spans="1:6" x14ac:dyDescent="0.2">
      <c r="F581" s="1" t="s">
        <v>766</v>
      </c>
    </row>
    <row r="582" spans="1:6" x14ac:dyDescent="0.2">
      <c r="F582" s="1" t="s">
        <v>767</v>
      </c>
    </row>
    <row r="583" spans="1:6" x14ac:dyDescent="0.2">
      <c r="F583" s="1" t="s">
        <v>768</v>
      </c>
    </row>
    <row r="585" spans="1:6" x14ac:dyDescent="0.2">
      <c r="A585" s="1" t="s">
        <v>769</v>
      </c>
      <c r="E585" s="1" t="s">
        <v>770</v>
      </c>
    </row>
    <row r="587" spans="1:6" x14ac:dyDescent="0.2">
      <c r="A587" s="1" t="s">
        <v>771</v>
      </c>
    </row>
    <row r="588" spans="1:6" x14ac:dyDescent="0.2">
      <c r="A588" s="1" t="s">
        <v>772</v>
      </c>
    </row>
    <row r="589" spans="1:6" x14ac:dyDescent="0.2">
      <c r="A589" s="1" t="s">
        <v>773</v>
      </c>
    </row>
    <row r="591" spans="1:6" x14ac:dyDescent="0.2">
      <c r="B591" s="2">
        <f>10.4/0.1*1.14</f>
        <v>118.55999999999999</v>
      </c>
      <c r="E591" s="1" t="s">
        <v>774</v>
      </c>
    </row>
    <row r="595" spans="1:8" x14ac:dyDescent="0.2">
      <c r="A595" s="153" t="s">
        <v>2879</v>
      </c>
      <c r="B595" s="152"/>
      <c r="C595" s="152"/>
      <c r="D595" s="152"/>
      <c r="E595" s="152"/>
      <c r="F595" s="152"/>
      <c r="G595" s="152"/>
      <c r="H595" s="152"/>
    </row>
    <row r="596" spans="1:8" x14ac:dyDescent="0.2">
      <c r="A596" s="1" t="s">
        <v>775</v>
      </c>
    </row>
    <row r="597" spans="1:8" x14ac:dyDescent="0.2">
      <c r="A597" s="1" t="s">
        <v>776</v>
      </c>
    </row>
    <row r="598" spans="1:8" x14ac:dyDescent="0.2">
      <c r="A598" s="1" t="s">
        <v>777</v>
      </c>
    </row>
    <row r="600" spans="1:8" x14ac:dyDescent="0.2">
      <c r="A600" s="4" t="s">
        <v>198</v>
      </c>
    </row>
    <row r="602" spans="1:8" x14ac:dyDescent="0.2">
      <c r="D602" s="37">
        <v>0</v>
      </c>
      <c r="F602" s="37">
        <v>-3</v>
      </c>
    </row>
    <row r="603" spans="1:8" x14ac:dyDescent="0.2">
      <c r="D603" s="37"/>
    </row>
    <row r="604" spans="1:8" x14ac:dyDescent="0.2">
      <c r="D604" s="37" t="s">
        <v>778</v>
      </c>
      <c r="F604" s="37">
        <v>30</v>
      </c>
    </row>
    <row r="605" spans="1:8" x14ac:dyDescent="0.2">
      <c r="D605" s="37" t="s">
        <v>779</v>
      </c>
    </row>
    <row r="606" spans="1:8" x14ac:dyDescent="0.2">
      <c r="D606" s="37" t="s">
        <v>780</v>
      </c>
    </row>
    <row r="607" spans="1:8" x14ac:dyDescent="0.2">
      <c r="D607" s="37" t="s">
        <v>781</v>
      </c>
    </row>
    <row r="608" spans="1:8" x14ac:dyDescent="0.2">
      <c r="D608" s="37" t="s">
        <v>782</v>
      </c>
    </row>
    <row r="609" spans="1:8" x14ac:dyDescent="0.2">
      <c r="D609" s="37" t="s">
        <v>783</v>
      </c>
    </row>
    <row r="610" spans="1:8" x14ac:dyDescent="0.2">
      <c r="D610" s="37"/>
    </row>
    <row r="612" spans="1:8" x14ac:dyDescent="0.2">
      <c r="A612" s="1" t="s">
        <v>784</v>
      </c>
    </row>
    <row r="613" spans="1:8" x14ac:dyDescent="0.2">
      <c r="A613" s="1" t="s">
        <v>785</v>
      </c>
    </row>
    <row r="614" spans="1:8" x14ac:dyDescent="0.2">
      <c r="F614" s="1" t="s">
        <v>786</v>
      </c>
    </row>
    <row r="615" spans="1:8" x14ac:dyDescent="0.2">
      <c r="D615" s="159">
        <f>30*1.02^3</f>
        <v>31.836239999999997</v>
      </c>
      <c r="F615" s="1" t="s">
        <v>787</v>
      </c>
    </row>
    <row r="617" spans="1:8" x14ac:dyDescent="0.2">
      <c r="A617" s="1" t="s">
        <v>788</v>
      </c>
    </row>
    <row r="618" spans="1:8" x14ac:dyDescent="0.2">
      <c r="C618" s="160">
        <f>D615/0.05*1.07</f>
        <v>681.29553599999986</v>
      </c>
      <c r="F618" s="1" t="s">
        <v>789</v>
      </c>
    </row>
    <row r="620" spans="1:8" x14ac:dyDescent="0.2">
      <c r="A620" s="1" t="s">
        <v>790</v>
      </c>
    </row>
    <row r="621" spans="1:8" x14ac:dyDescent="0.2">
      <c r="A621" s="1" t="s">
        <v>791</v>
      </c>
    </row>
    <row r="623" spans="1:8" x14ac:dyDescent="0.2">
      <c r="A623" s="153" t="s">
        <v>2880</v>
      </c>
      <c r="B623" s="152"/>
      <c r="C623" s="152"/>
      <c r="D623" s="152"/>
      <c r="E623" s="152"/>
      <c r="F623" s="152"/>
      <c r="G623" s="152"/>
      <c r="H623" s="152"/>
    </row>
    <row r="624" spans="1:8" x14ac:dyDescent="0.2">
      <c r="A624" s="1" t="s">
        <v>792</v>
      </c>
    </row>
    <row r="625" spans="1:6" x14ac:dyDescent="0.2">
      <c r="A625" s="1" t="s">
        <v>793</v>
      </c>
    </row>
    <row r="626" spans="1:6" x14ac:dyDescent="0.2">
      <c r="A626" s="1" t="s">
        <v>794</v>
      </c>
    </row>
    <row r="627" spans="1:6" x14ac:dyDescent="0.2">
      <c r="A627" s="1" t="s">
        <v>795</v>
      </c>
    </row>
    <row r="629" spans="1:6" x14ac:dyDescent="0.2">
      <c r="A629" s="1" t="s">
        <v>198</v>
      </c>
    </row>
    <row r="631" spans="1:6" x14ac:dyDescent="0.2">
      <c r="A631" s="1" t="s">
        <v>796</v>
      </c>
      <c r="E631" s="1" t="s">
        <v>797</v>
      </c>
    </row>
    <row r="633" spans="1:6" x14ac:dyDescent="0.2">
      <c r="A633" s="1" t="s">
        <v>798</v>
      </c>
      <c r="B633" s="1" t="s">
        <v>580</v>
      </c>
      <c r="C633" s="1" t="s">
        <v>549</v>
      </c>
    </row>
    <row r="634" spans="1:6" x14ac:dyDescent="0.2">
      <c r="B634" s="1" t="s">
        <v>559</v>
      </c>
      <c r="C634" s="1" t="s">
        <v>749</v>
      </c>
    </row>
    <row r="636" spans="1:6" x14ac:dyDescent="0.2">
      <c r="E636" s="121">
        <v>1</v>
      </c>
      <c r="F636" s="37">
        <v>0</v>
      </c>
    </row>
    <row r="637" spans="1:6" x14ac:dyDescent="0.2">
      <c r="E637" s="2"/>
    </row>
    <row r="638" spans="1:6" x14ac:dyDescent="0.2">
      <c r="E638" s="121" t="s">
        <v>799</v>
      </c>
      <c r="F638" s="37" t="s">
        <v>800</v>
      </c>
    </row>
    <row r="639" spans="1:6" x14ac:dyDescent="0.2">
      <c r="E639" s="2"/>
      <c r="F639" s="37" t="s">
        <v>801</v>
      </c>
    </row>
    <row r="640" spans="1:6" x14ac:dyDescent="0.2">
      <c r="E640" s="2"/>
      <c r="F640" s="1" t="s">
        <v>802</v>
      </c>
    </row>
    <row r="641" spans="1:8" x14ac:dyDescent="0.2">
      <c r="E641" s="2"/>
      <c r="F641" s="1" t="s">
        <v>803</v>
      </c>
    </row>
    <row r="643" spans="1:8" x14ac:dyDescent="0.2">
      <c r="A643" s="1" t="s">
        <v>804</v>
      </c>
    </row>
    <row r="644" spans="1:8" x14ac:dyDescent="0.2">
      <c r="A644" s="1" t="s">
        <v>805</v>
      </c>
    </row>
    <row r="645" spans="1:8" x14ac:dyDescent="0.2">
      <c r="A645" s="1" t="s">
        <v>806</v>
      </c>
    </row>
    <row r="647" spans="1:8" x14ac:dyDescent="0.2">
      <c r="A647" s="1" t="s">
        <v>807</v>
      </c>
    </row>
    <row r="648" spans="1:8" x14ac:dyDescent="0.2">
      <c r="G648" s="1" t="s">
        <v>808</v>
      </c>
      <c r="H648" s="1" t="s">
        <v>809</v>
      </c>
    </row>
    <row r="650" spans="1:8" x14ac:dyDescent="0.2">
      <c r="A650" s="1" t="s">
        <v>810</v>
      </c>
    </row>
    <row r="651" spans="1:8" x14ac:dyDescent="0.2">
      <c r="E651" s="1" t="s">
        <v>579</v>
      </c>
    </row>
    <row r="653" spans="1:8" x14ac:dyDescent="0.2">
      <c r="C653" s="1" t="s">
        <v>582</v>
      </c>
      <c r="D653" s="1" t="s">
        <v>811</v>
      </c>
    </row>
    <row r="654" spans="1:8" x14ac:dyDescent="0.2">
      <c r="C654" s="1" t="s">
        <v>550</v>
      </c>
      <c r="D654" s="1" t="s">
        <v>812</v>
      </c>
    </row>
    <row r="655" spans="1:8" x14ac:dyDescent="0.2">
      <c r="C655" s="1" t="s">
        <v>552</v>
      </c>
      <c r="D655" s="1" t="s">
        <v>813</v>
      </c>
    </row>
    <row r="657" spans="1:5" x14ac:dyDescent="0.2">
      <c r="C657" s="37">
        <v>102</v>
      </c>
      <c r="E657" s="1" t="s">
        <v>814</v>
      </c>
    </row>
    <row r="659" spans="1:5" x14ac:dyDescent="0.2">
      <c r="A659" s="1" t="s">
        <v>815</v>
      </c>
    </row>
    <row r="660" spans="1:5" x14ac:dyDescent="0.2">
      <c r="A660" s="1" t="s">
        <v>816</v>
      </c>
    </row>
    <row r="661" spans="1:5" x14ac:dyDescent="0.2">
      <c r="A661" s="1" t="s">
        <v>817</v>
      </c>
    </row>
    <row r="662" spans="1:5" x14ac:dyDescent="0.2">
      <c r="A662" s="1" t="s">
        <v>818</v>
      </c>
    </row>
    <row r="664" spans="1:5" x14ac:dyDescent="0.2">
      <c r="A664" s="1" t="s">
        <v>819</v>
      </c>
    </row>
    <row r="665" spans="1:5" x14ac:dyDescent="0.2">
      <c r="A665" s="1" t="s">
        <v>820</v>
      </c>
    </row>
    <row r="667" spans="1:5" x14ac:dyDescent="0.2">
      <c r="A667" s="1" t="s">
        <v>821</v>
      </c>
    </row>
    <row r="668" spans="1:5" x14ac:dyDescent="0.2">
      <c r="A668" s="1" t="s">
        <v>822</v>
      </c>
    </row>
    <row r="669" spans="1:5" x14ac:dyDescent="0.2">
      <c r="A669" s="4" t="s">
        <v>823</v>
      </c>
      <c r="C669" s="121">
        <f>102/15</f>
        <v>6.8</v>
      </c>
      <c r="E669" s="1" t="s">
        <v>824</v>
      </c>
    </row>
    <row r="673" spans="1:8" x14ac:dyDescent="0.2">
      <c r="A673" s="153" t="s">
        <v>2881</v>
      </c>
      <c r="B673" s="152"/>
      <c r="C673" s="152"/>
      <c r="D673" s="152"/>
      <c r="E673" s="152"/>
      <c r="F673" s="152"/>
      <c r="G673" s="152"/>
      <c r="H673" s="152"/>
    </row>
    <row r="674" spans="1:8" x14ac:dyDescent="0.2">
      <c r="A674" s="1" t="s">
        <v>825</v>
      </c>
    </row>
    <row r="675" spans="1:8" x14ac:dyDescent="0.2">
      <c r="A675" s="1" t="s">
        <v>826</v>
      </c>
    </row>
    <row r="676" spans="1:8" x14ac:dyDescent="0.2">
      <c r="A676" s="1" t="s">
        <v>827</v>
      </c>
    </row>
    <row r="679" spans="1:8" x14ac:dyDescent="0.2">
      <c r="B679" s="37" t="s">
        <v>828</v>
      </c>
      <c r="C679" s="37">
        <v>5</v>
      </c>
      <c r="D679" s="37">
        <v>4</v>
      </c>
      <c r="E679" s="37">
        <v>3</v>
      </c>
      <c r="F679" s="37">
        <v>2</v>
      </c>
      <c r="G679" s="37">
        <v>1</v>
      </c>
      <c r="H679" s="37">
        <v>0</v>
      </c>
    </row>
    <row r="681" spans="1:8" x14ac:dyDescent="0.2">
      <c r="C681" s="37" t="s">
        <v>829</v>
      </c>
      <c r="H681" s="37" t="s">
        <v>830</v>
      </c>
    </row>
    <row r="682" spans="1:8" x14ac:dyDescent="0.2">
      <c r="B682" s="37" t="s">
        <v>831</v>
      </c>
    </row>
    <row r="683" spans="1:8" x14ac:dyDescent="0.2">
      <c r="B683" s="37" t="s">
        <v>832</v>
      </c>
    </row>
    <row r="685" spans="1:8" x14ac:dyDescent="0.2">
      <c r="A685" s="1" t="s">
        <v>833</v>
      </c>
      <c r="D685" s="1" t="s">
        <v>834</v>
      </c>
      <c r="E685" s="1" t="s">
        <v>835</v>
      </c>
    </row>
    <row r="686" spans="1:8" x14ac:dyDescent="0.2">
      <c r="A686" s="1" t="s">
        <v>836</v>
      </c>
    </row>
    <row r="687" spans="1:8" x14ac:dyDescent="0.2">
      <c r="A687" s="1" t="s">
        <v>837</v>
      </c>
    </row>
    <row r="689" spans="1:8" x14ac:dyDescent="0.2">
      <c r="A689" s="161">
        <f>7/0.075*1.1^-4</f>
        <v>63.747922500739925</v>
      </c>
      <c r="D689" s="1" t="s">
        <v>838</v>
      </c>
      <c r="E689" s="1" t="s">
        <v>835</v>
      </c>
    </row>
    <row r="691" spans="1:8" x14ac:dyDescent="0.2">
      <c r="B691" s="1" t="s">
        <v>839</v>
      </c>
      <c r="D691" s="1" t="s">
        <v>840</v>
      </c>
    </row>
    <row r="692" spans="1:8" x14ac:dyDescent="0.2">
      <c r="B692" s="1" t="s">
        <v>841</v>
      </c>
      <c r="D692" s="1" t="s">
        <v>842</v>
      </c>
    </row>
    <row r="693" spans="1:8" x14ac:dyDescent="0.2">
      <c r="B693" s="1" t="s">
        <v>843</v>
      </c>
      <c r="D693" s="1" t="s">
        <v>844</v>
      </c>
    </row>
    <row r="694" spans="1:8" x14ac:dyDescent="0.2">
      <c r="B694" s="1" t="s">
        <v>845</v>
      </c>
      <c r="D694" s="1" t="s">
        <v>846</v>
      </c>
    </row>
    <row r="695" spans="1:8" x14ac:dyDescent="0.2">
      <c r="B695" s="1" t="s">
        <v>847</v>
      </c>
    </row>
    <row r="696" spans="1:8" x14ac:dyDescent="0.2">
      <c r="B696" s="1" t="s">
        <v>848</v>
      </c>
    </row>
    <row r="700" spans="1:8" x14ac:dyDescent="0.2">
      <c r="A700" s="153" t="s">
        <v>2882</v>
      </c>
      <c r="B700" s="152"/>
      <c r="C700" s="152"/>
      <c r="D700" s="152"/>
      <c r="E700" s="152"/>
      <c r="F700" s="152"/>
      <c r="G700" s="152"/>
      <c r="H700" s="152"/>
    </row>
    <row r="701" spans="1:8" x14ac:dyDescent="0.2">
      <c r="A701" s="1" t="s">
        <v>849</v>
      </c>
    </row>
    <row r="702" spans="1:8" x14ac:dyDescent="0.2">
      <c r="A702" s="1" t="s">
        <v>850</v>
      </c>
    </row>
    <row r="703" spans="1:8" x14ac:dyDescent="0.2">
      <c r="A703" s="1" t="s">
        <v>851</v>
      </c>
    </row>
    <row r="705" spans="1:6" x14ac:dyDescent="0.2">
      <c r="A705" s="1" t="s">
        <v>198</v>
      </c>
    </row>
    <row r="707" spans="1:6" x14ac:dyDescent="0.2">
      <c r="A707" s="1" t="s">
        <v>852</v>
      </c>
    </row>
    <row r="708" spans="1:6" x14ac:dyDescent="0.2">
      <c r="A708" s="1" t="s">
        <v>853</v>
      </c>
    </row>
    <row r="709" spans="1:6" x14ac:dyDescent="0.2">
      <c r="A709" s="1" t="s">
        <v>854</v>
      </c>
    </row>
    <row r="710" spans="1:6" x14ac:dyDescent="0.2">
      <c r="A710" s="1" t="s">
        <v>855</v>
      </c>
    </row>
    <row r="712" spans="1:6" x14ac:dyDescent="0.2">
      <c r="C712" s="1" t="s">
        <v>856</v>
      </c>
    </row>
    <row r="713" spans="1:6" x14ac:dyDescent="0.2">
      <c r="C713" s="1" t="s">
        <v>857</v>
      </c>
    </row>
    <row r="714" spans="1:6" x14ac:dyDescent="0.2">
      <c r="A714" s="1" t="s">
        <v>35</v>
      </c>
      <c r="B714" s="1" t="s">
        <v>52</v>
      </c>
      <c r="C714" s="1" t="s">
        <v>858</v>
      </c>
      <c r="D714" s="1" t="s">
        <v>285</v>
      </c>
    </row>
    <row r="715" spans="1:6" x14ac:dyDescent="0.2">
      <c r="A715" s="1">
        <v>0</v>
      </c>
    </row>
    <row r="716" spans="1:6" x14ac:dyDescent="0.2">
      <c r="A716" s="1">
        <v>1</v>
      </c>
      <c r="B716" s="1">
        <v>8</v>
      </c>
      <c r="D716" s="1">
        <f>SUM(B716:C716)</f>
        <v>8</v>
      </c>
    </row>
    <row r="717" spans="1:6" x14ac:dyDescent="0.2">
      <c r="A717" s="1">
        <v>2</v>
      </c>
      <c r="B717" s="1">
        <v>12</v>
      </c>
      <c r="D717" s="1">
        <f>SUM(B717:C717)</f>
        <v>12</v>
      </c>
    </row>
    <row r="718" spans="1:6" x14ac:dyDescent="0.2">
      <c r="A718" s="1">
        <v>3</v>
      </c>
      <c r="B718" s="1">
        <v>28</v>
      </c>
      <c r="D718" s="1">
        <f>SUM(B718:C718)</f>
        <v>28</v>
      </c>
    </row>
    <row r="719" spans="1:6" x14ac:dyDescent="0.2">
      <c r="A719" s="1">
        <v>4</v>
      </c>
      <c r="B719" s="1">
        <v>78</v>
      </c>
      <c r="C719" s="15">
        <f>95/0.02</f>
        <v>4750</v>
      </c>
      <c r="D719" s="1">
        <f>SUM(B719:C719)</f>
        <v>4828</v>
      </c>
    </row>
    <row r="720" spans="1:6" x14ac:dyDescent="0.2">
      <c r="A720" s="1">
        <v>5</v>
      </c>
      <c r="B720" s="1" t="s">
        <v>859</v>
      </c>
      <c r="D720" s="26">
        <f>NPV(6%,D716:D719)</f>
        <v>3865.9646731295588</v>
      </c>
      <c r="E720" s="1" t="s">
        <v>835</v>
      </c>
      <c r="F720" s="1" t="s">
        <v>860</v>
      </c>
    </row>
    <row r="722" spans="1:9" x14ac:dyDescent="0.2">
      <c r="A722" s="1" t="s">
        <v>861</v>
      </c>
    </row>
    <row r="723" spans="1:9" x14ac:dyDescent="0.2">
      <c r="A723" s="1" t="s">
        <v>862</v>
      </c>
      <c r="F723" s="1" t="s">
        <v>863</v>
      </c>
    </row>
    <row r="724" spans="1:9" x14ac:dyDescent="0.2">
      <c r="A724" s="1" t="s">
        <v>864</v>
      </c>
    </row>
    <row r="725" spans="1:9" x14ac:dyDescent="0.2">
      <c r="A725" s="1" t="s">
        <v>865</v>
      </c>
    </row>
    <row r="727" spans="1:9" x14ac:dyDescent="0.2">
      <c r="A727" s="153" t="s">
        <v>1016</v>
      </c>
      <c r="B727" s="152"/>
      <c r="C727" s="152"/>
      <c r="D727" s="152"/>
      <c r="E727" s="152"/>
      <c r="F727" s="152"/>
      <c r="G727" s="152"/>
      <c r="H727" s="152"/>
      <c r="I727" s="1" t="s">
        <v>3605</v>
      </c>
    </row>
    <row r="728" spans="1:9" x14ac:dyDescent="0.2">
      <c r="A728" s="1" t="s">
        <v>1017</v>
      </c>
    </row>
    <row r="729" spans="1:9" x14ac:dyDescent="0.2">
      <c r="A729" s="1" t="s">
        <v>1018</v>
      </c>
    </row>
    <row r="730" spans="1:9" x14ac:dyDescent="0.2">
      <c r="A730" s="179" t="s">
        <v>1019</v>
      </c>
    </row>
    <row r="731" spans="1:9" x14ac:dyDescent="0.2">
      <c r="A731" s="1" t="s">
        <v>1020</v>
      </c>
    </row>
    <row r="732" spans="1:9" x14ac:dyDescent="0.2">
      <c r="A732" s="1" t="s">
        <v>2948</v>
      </c>
    </row>
    <row r="734" spans="1:9" x14ac:dyDescent="0.2">
      <c r="A734" s="4" t="s">
        <v>198</v>
      </c>
    </row>
    <row r="736" spans="1:9" x14ac:dyDescent="0.2">
      <c r="A736" s="4" t="s">
        <v>1021</v>
      </c>
    </row>
    <row r="738" spans="1:9" x14ac:dyDescent="0.2">
      <c r="A738" s="1" t="s">
        <v>1022</v>
      </c>
      <c r="F738" s="1" t="s">
        <v>579</v>
      </c>
    </row>
    <row r="739" spans="1:9" x14ac:dyDescent="0.2">
      <c r="F739" s="1" t="s">
        <v>1023</v>
      </c>
    </row>
    <row r="740" spans="1:9" x14ac:dyDescent="0.2">
      <c r="F740" s="1" t="s">
        <v>1024</v>
      </c>
    </row>
    <row r="741" spans="1:9" x14ac:dyDescent="0.2">
      <c r="E741" s="43"/>
      <c r="F741" s="2" t="s">
        <v>1025</v>
      </c>
    </row>
    <row r="742" spans="1:9" x14ac:dyDescent="0.2">
      <c r="E742" s="43"/>
    </row>
    <row r="743" spans="1:9" x14ac:dyDescent="0.2">
      <c r="A743" s="4" t="s">
        <v>1026</v>
      </c>
      <c r="E743" s="43"/>
    </row>
    <row r="744" spans="1:9" x14ac:dyDescent="0.2">
      <c r="E744" s="43"/>
    </row>
    <row r="745" spans="1:9" x14ac:dyDescent="0.2">
      <c r="A745" s="1" t="s">
        <v>2945</v>
      </c>
      <c r="E745" s="43"/>
    </row>
    <row r="746" spans="1:9" x14ac:dyDescent="0.2">
      <c r="A746" s="1" t="s">
        <v>2946</v>
      </c>
      <c r="E746" s="43"/>
    </row>
    <row r="747" spans="1:9" x14ac:dyDescent="0.2">
      <c r="A747" s="1" t="s">
        <v>2947</v>
      </c>
      <c r="E747" s="43"/>
    </row>
    <row r="748" spans="1:9" x14ac:dyDescent="0.2">
      <c r="E748" s="43"/>
      <c r="G748" s="1" t="s">
        <v>2949</v>
      </c>
    </row>
    <row r="749" spans="1:9" ht="17" thickBot="1" x14ac:dyDescent="0.25">
      <c r="E749" s="43"/>
    </row>
    <row r="750" spans="1:9" x14ac:dyDescent="0.2">
      <c r="A750" s="1" t="s">
        <v>1002</v>
      </c>
      <c r="B750" s="1" t="s">
        <v>1368</v>
      </c>
      <c r="E750" s="596" t="s">
        <v>1028</v>
      </c>
      <c r="F750" s="588"/>
      <c r="G750" s="589"/>
      <c r="I750" s="11"/>
    </row>
    <row r="751" spans="1:9" x14ac:dyDescent="0.2">
      <c r="A751" s="1" t="s">
        <v>1004</v>
      </c>
      <c r="B751" s="1" t="s">
        <v>1005</v>
      </c>
      <c r="E751" s="597"/>
      <c r="F751" s="563"/>
      <c r="G751" s="598"/>
      <c r="I751" s="11"/>
    </row>
    <row r="752" spans="1:9" ht="17" thickBot="1" x14ac:dyDescent="0.25">
      <c r="A752" s="1" t="s">
        <v>1006</v>
      </c>
      <c r="B752" s="1" t="s">
        <v>2950</v>
      </c>
      <c r="E752" s="599"/>
      <c r="F752" s="590"/>
      <c r="G752" s="591"/>
      <c r="I752" s="11"/>
    </row>
    <row r="753" spans="1:9" x14ac:dyDescent="0.2">
      <c r="E753" s="43"/>
    </row>
    <row r="754" spans="1:9" x14ac:dyDescent="0.2">
      <c r="A754" s="1" t="s">
        <v>2951</v>
      </c>
      <c r="B754" s="1" t="s">
        <v>2952</v>
      </c>
      <c r="E754" s="1" t="s">
        <v>1002</v>
      </c>
    </row>
    <row r="755" spans="1:9" x14ac:dyDescent="0.2">
      <c r="B755" s="1" t="s">
        <v>2953</v>
      </c>
      <c r="E755" s="1" t="s">
        <v>1004</v>
      </c>
    </row>
    <row r="756" spans="1:9" x14ac:dyDescent="0.2">
      <c r="B756" s="1" t="s">
        <v>2954</v>
      </c>
      <c r="E756" s="1" t="s">
        <v>1006</v>
      </c>
    </row>
    <row r="757" spans="1:9" x14ac:dyDescent="0.2">
      <c r="E757" s="43"/>
    </row>
    <row r="758" spans="1:9" x14ac:dyDescent="0.2">
      <c r="A758" s="1" t="s">
        <v>1027</v>
      </c>
      <c r="E758" s="43"/>
      <c r="F758" s="1" t="s">
        <v>1028</v>
      </c>
    </row>
    <row r="759" spans="1:9" x14ac:dyDescent="0.2">
      <c r="D759" s="171">
        <f>4%+6%*1.8</f>
        <v>0.14799999999999999</v>
      </c>
      <c r="E759" s="43"/>
      <c r="F759" s="1" t="s">
        <v>1029</v>
      </c>
    </row>
    <row r="760" spans="1:9" x14ac:dyDescent="0.2">
      <c r="E760" s="43"/>
    </row>
    <row r="761" spans="1:9" x14ac:dyDescent="0.2">
      <c r="A761" s="1" t="s">
        <v>1030</v>
      </c>
      <c r="E761" s="43"/>
    </row>
    <row r="762" spans="1:9" x14ac:dyDescent="0.2">
      <c r="A762" s="1" t="s">
        <v>1031</v>
      </c>
      <c r="E762" s="43"/>
    </row>
    <row r="763" spans="1:9" x14ac:dyDescent="0.2">
      <c r="A763" s="1" t="s">
        <v>1032</v>
      </c>
      <c r="E763" s="43"/>
    </row>
    <row r="764" spans="1:9" x14ac:dyDescent="0.2">
      <c r="A764" s="1" t="s">
        <v>1033</v>
      </c>
    </row>
    <row r="766" spans="1:9" x14ac:dyDescent="0.2">
      <c r="A766" s="153" t="s">
        <v>1034</v>
      </c>
      <c r="B766" s="153"/>
      <c r="C766" s="153"/>
      <c r="D766" s="153"/>
      <c r="E766" s="153"/>
      <c r="F766" s="153"/>
      <c r="G766" s="153"/>
      <c r="H766" s="153"/>
      <c r="I766" s="1" t="s">
        <v>3605</v>
      </c>
    </row>
    <row r="767" spans="1:9" x14ac:dyDescent="0.2">
      <c r="A767" s="1" t="s">
        <v>1035</v>
      </c>
    </row>
    <row r="768" spans="1:9" x14ac:dyDescent="0.2">
      <c r="A768" s="1" t="s">
        <v>1036</v>
      </c>
    </row>
    <row r="769" spans="1:5" x14ac:dyDescent="0.2">
      <c r="A769" s="1" t="s">
        <v>1037</v>
      </c>
    </row>
    <row r="770" spans="1:5" x14ac:dyDescent="0.2">
      <c r="A770" s="1" t="s">
        <v>1038</v>
      </c>
    </row>
    <row r="772" spans="1:5" x14ac:dyDescent="0.2">
      <c r="A772" s="4" t="s">
        <v>198</v>
      </c>
    </row>
    <row r="774" spans="1:5" x14ac:dyDescent="0.2">
      <c r="A774" s="4" t="s">
        <v>1039</v>
      </c>
    </row>
    <row r="775" spans="1:5" x14ac:dyDescent="0.2">
      <c r="A775" s="1" t="s">
        <v>2955</v>
      </c>
    </row>
    <row r="776" spans="1:5" x14ac:dyDescent="0.2">
      <c r="A776" s="1" t="s">
        <v>2956</v>
      </c>
    </row>
    <row r="777" spans="1:5" x14ac:dyDescent="0.2">
      <c r="A777" s="1" t="s">
        <v>2957</v>
      </c>
    </row>
    <row r="779" spans="1:5" x14ac:dyDescent="0.2">
      <c r="A779" s="1" t="s">
        <v>2961</v>
      </c>
      <c r="D779" s="1" t="s">
        <v>2960</v>
      </c>
    </row>
    <row r="780" spans="1:5" x14ac:dyDescent="0.2">
      <c r="A780" s="1" t="s">
        <v>2959</v>
      </c>
      <c r="D780" s="1" t="s">
        <v>2958</v>
      </c>
    </row>
    <row r="782" spans="1:5" x14ac:dyDescent="0.2">
      <c r="A782" s="1" t="s">
        <v>1040</v>
      </c>
      <c r="E782" s="1" t="s">
        <v>1041</v>
      </c>
    </row>
    <row r="784" spans="1:5" x14ac:dyDescent="0.2">
      <c r="E784" s="1" t="s">
        <v>2962</v>
      </c>
    </row>
    <row r="786" spans="1:5" x14ac:dyDescent="0.2">
      <c r="A786" s="1" t="s">
        <v>2963</v>
      </c>
    </row>
    <row r="788" spans="1:5" x14ac:dyDescent="0.2">
      <c r="B788" s="173">
        <f>100-14/15%</f>
        <v>6.6666666666666572</v>
      </c>
      <c r="E788" s="1" t="s">
        <v>1042</v>
      </c>
    </row>
    <row r="790" spans="1:5" x14ac:dyDescent="0.2">
      <c r="D790" s="1" t="s">
        <v>549</v>
      </c>
      <c r="E790" s="1" t="s">
        <v>3587</v>
      </c>
    </row>
    <row r="791" spans="1:5" x14ac:dyDescent="0.2">
      <c r="A791" s="1" t="s">
        <v>3597</v>
      </c>
      <c r="B791" s="1" t="s">
        <v>3591</v>
      </c>
      <c r="D791" s="1" t="s">
        <v>3589</v>
      </c>
      <c r="E791" s="1" t="s">
        <v>3588</v>
      </c>
    </row>
    <row r="792" spans="1:5" x14ac:dyDescent="0.2">
      <c r="A792" s="1" t="s">
        <v>3598</v>
      </c>
      <c r="B792" s="1" t="s">
        <v>3592</v>
      </c>
      <c r="D792" s="1" t="s">
        <v>3590</v>
      </c>
    </row>
    <row r="793" spans="1:5" x14ac:dyDescent="0.2">
      <c r="A793" s="1" t="s">
        <v>3599</v>
      </c>
      <c r="B793" s="1" t="s">
        <v>3593</v>
      </c>
    </row>
    <row r="794" spans="1:5" x14ac:dyDescent="0.2">
      <c r="A794" s="1" t="s">
        <v>3600</v>
      </c>
      <c r="B794" s="1" t="s">
        <v>3594</v>
      </c>
    </row>
    <row r="795" spans="1:5" x14ac:dyDescent="0.2">
      <c r="A795" s="1" t="s">
        <v>3601</v>
      </c>
      <c r="B795" s="1" t="s">
        <v>3595</v>
      </c>
    </row>
    <row r="796" spans="1:5" x14ac:dyDescent="0.2">
      <c r="A796" s="1" t="s">
        <v>3602</v>
      </c>
      <c r="B796" s="1" t="s">
        <v>3596</v>
      </c>
    </row>
    <row r="797" spans="1:5" x14ac:dyDescent="0.2">
      <c r="A797" s="1" t="s">
        <v>3603</v>
      </c>
    </row>
    <row r="798" spans="1:5" x14ac:dyDescent="0.2">
      <c r="A798" s="1" t="s">
        <v>3604</v>
      </c>
    </row>
    <row r="800" spans="1:5" x14ac:dyDescent="0.2">
      <c r="B800" s="180" t="s">
        <v>1043</v>
      </c>
      <c r="C800" s="1" t="s">
        <v>1044</v>
      </c>
    </row>
    <row r="801" spans="1:9" x14ac:dyDescent="0.2">
      <c r="B801" s="180" t="s">
        <v>1045</v>
      </c>
      <c r="C801" s="1" t="s">
        <v>1046</v>
      </c>
    </row>
    <row r="802" spans="1:9" x14ac:dyDescent="0.2">
      <c r="B802" s="180" t="s">
        <v>559</v>
      </c>
      <c r="C802" s="1" t="s">
        <v>1047</v>
      </c>
    </row>
    <row r="804" spans="1:9" x14ac:dyDescent="0.2">
      <c r="A804" s="1" t="s">
        <v>896</v>
      </c>
      <c r="B804" s="1" t="s">
        <v>1048</v>
      </c>
    </row>
    <row r="805" spans="1:9" x14ac:dyDescent="0.2">
      <c r="B805" s="1" t="s">
        <v>1049</v>
      </c>
      <c r="C805" s="37" t="s">
        <v>834</v>
      </c>
      <c r="D805" s="1" t="s">
        <v>1050</v>
      </c>
    </row>
    <row r="807" spans="1:9" x14ac:dyDescent="0.2">
      <c r="A807" s="1" t="s">
        <v>1051</v>
      </c>
    </row>
    <row r="808" spans="1:9" x14ac:dyDescent="0.2">
      <c r="A808" s="1" t="s">
        <v>1052</v>
      </c>
    </row>
    <row r="809" spans="1:9" x14ac:dyDescent="0.2">
      <c r="A809" s="1" t="s">
        <v>1053</v>
      </c>
    </row>
    <row r="811" spans="1:9" x14ac:dyDescent="0.2">
      <c r="A811" s="4" t="s">
        <v>1054</v>
      </c>
    </row>
    <row r="812" spans="1:9" x14ac:dyDescent="0.2">
      <c r="A812" s="1" t="s">
        <v>1055</v>
      </c>
    </row>
    <row r="814" spans="1:9" x14ac:dyDescent="0.2">
      <c r="A814" s="1" t="s">
        <v>1056</v>
      </c>
      <c r="B814" s="36">
        <v>6.6699999999999995E-2</v>
      </c>
      <c r="E814" s="1" t="s">
        <v>1057</v>
      </c>
    </row>
    <row r="816" spans="1:9" x14ac:dyDescent="0.2">
      <c r="A816" s="153" t="s">
        <v>1058</v>
      </c>
      <c r="B816" s="153"/>
      <c r="C816" s="153"/>
      <c r="D816" s="153"/>
      <c r="E816" s="153"/>
      <c r="F816" s="153"/>
      <c r="G816" s="153"/>
      <c r="H816" s="153"/>
      <c r="I816" s="1" t="s">
        <v>225</v>
      </c>
    </row>
    <row r="817" spans="1:1" x14ac:dyDescent="0.2">
      <c r="A817" s="1" t="s">
        <v>1059</v>
      </c>
    </row>
    <row r="818" spans="1:1" x14ac:dyDescent="0.2">
      <c r="A818" s="1" t="s">
        <v>1060</v>
      </c>
    </row>
    <row r="819" spans="1:1" x14ac:dyDescent="0.2">
      <c r="A819" s="1" t="s">
        <v>1061</v>
      </c>
    </row>
    <row r="820" spans="1:1" x14ac:dyDescent="0.2">
      <c r="A820" s="1" t="s">
        <v>1062</v>
      </c>
    </row>
    <row r="821" spans="1:1" x14ac:dyDescent="0.2">
      <c r="A821" s="1" t="s">
        <v>1063</v>
      </c>
    </row>
    <row r="823" spans="1:1" x14ac:dyDescent="0.2">
      <c r="A823" s="4" t="s">
        <v>198</v>
      </c>
    </row>
    <row r="825" spans="1:1" x14ac:dyDescent="0.2">
      <c r="A825" s="4" t="s">
        <v>1064</v>
      </c>
    </row>
    <row r="826" spans="1:1" x14ac:dyDescent="0.2">
      <c r="A826" s="1" t="s">
        <v>2964</v>
      </c>
    </row>
    <row r="827" spans="1:1" x14ac:dyDescent="0.2">
      <c r="A827" s="1" t="s">
        <v>1065</v>
      </c>
    </row>
    <row r="828" spans="1:1" x14ac:dyDescent="0.2">
      <c r="A828" s="1" t="s">
        <v>1066</v>
      </c>
    </row>
    <row r="829" spans="1:1" x14ac:dyDescent="0.2">
      <c r="A829" s="1" t="s">
        <v>1067</v>
      </c>
    </row>
    <row r="830" spans="1:1" x14ac:dyDescent="0.2">
      <c r="A830" s="1" t="s">
        <v>2967</v>
      </c>
    </row>
    <row r="831" spans="1:1" x14ac:dyDescent="0.2">
      <c r="A831" s="1" t="s">
        <v>2968</v>
      </c>
    </row>
    <row r="832" spans="1:1" x14ac:dyDescent="0.2">
      <c r="A832" s="1" t="s">
        <v>1068</v>
      </c>
    </row>
    <row r="833" spans="1:8" x14ac:dyDescent="0.2">
      <c r="A833" s="1" t="s">
        <v>1069</v>
      </c>
    </row>
    <row r="835" spans="1:8" x14ac:dyDescent="0.2">
      <c r="D835" s="1" t="s">
        <v>797</v>
      </c>
    </row>
    <row r="836" spans="1:8" x14ac:dyDescent="0.2">
      <c r="A836" s="1" t="s">
        <v>1070</v>
      </c>
      <c r="D836" s="1" t="s">
        <v>1071</v>
      </c>
      <c r="E836" s="1" t="s">
        <v>2965</v>
      </c>
    </row>
    <row r="837" spans="1:8" x14ac:dyDescent="0.2">
      <c r="A837" s="1" t="s">
        <v>1072</v>
      </c>
      <c r="D837" s="1" t="s">
        <v>1073</v>
      </c>
      <c r="E837" s="1" t="s">
        <v>2966</v>
      </c>
    </row>
    <row r="839" spans="1:8" x14ac:dyDescent="0.2">
      <c r="A839" s="4" t="s">
        <v>1074</v>
      </c>
      <c r="E839" s="37" t="s">
        <v>1075</v>
      </c>
      <c r="F839" s="1" t="s">
        <v>1076</v>
      </c>
    </row>
    <row r="840" spans="1:8" x14ac:dyDescent="0.2">
      <c r="A840" s="1" t="s">
        <v>1077</v>
      </c>
      <c r="F840" s="1" t="s">
        <v>1078</v>
      </c>
    </row>
    <row r="841" spans="1:8" x14ac:dyDescent="0.2">
      <c r="B841" s="174">
        <f>10500000000/100</f>
        <v>105000000</v>
      </c>
      <c r="D841" s="12" t="s">
        <v>1079</v>
      </c>
      <c r="F841" s="1" t="s">
        <v>1080</v>
      </c>
    </row>
    <row r="842" spans="1:8" ht="17" thickBot="1" x14ac:dyDescent="0.25">
      <c r="D842" s="12"/>
    </row>
    <row r="843" spans="1:8" ht="24" thickBot="1" x14ac:dyDescent="0.3">
      <c r="A843" s="601" t="s">
        <v>866</v>
      </c>
      <c r="B843" s="602"/>
      <c r="C843" s="602"/>
      <c r="D843" s="602"/>
      <c r="E843" s="602"/>
      <c r="F843" s="602"/>
      <c r="G843" s="602"/>
      <c r="H843" s="603"/>
    </row>
    <row r="846" spans="1:8" x14ac:dyDescent="0.2">
      <c r="A846" s="49" t="s">
        <v>867</v>
      </c>
      <c r="B846" s="49"/>
      <c r="C846" s="49"/>
      <c r="D846" s="49"/>
      <c r="E846" s="49"/>
      <c r="F846" s="49" t="s">
        <v>868</v>
      </c>
      <c r="G846" s="49"/>
      <c r="H846" s="49"/>
    </row>
    <row r="847" spans="1:8" x14ac:dyDescent="0.2">
      <c r="A847" s="1" t="s">
        <v>869</v>
      </c>
    </row>
    <row r="848" spans="1:8" x14ac:dyDescent="0.2">
      <c r="A848" s="1" t="s">
        <v>870</v>
      </c>
    </row>
    <row r="850" spans="1:8" x14ac:dyDescent="0.2">
      <c r="A850" s="1" t="s">
        <v>282</v>
      </c>
    </row>
    <row r="851" spans="1:8" x14ac:dyDescent="0.2">
      <c r="A851" s="1" t="s">
        <v>871</v>
      </c>
    </row>
    <row r="852" spans="1:8" x14ac:dyDescent="0.2">
      <c r="A852" s="1" t="s">
        <v>872</v>
      </c>
    </row>
    <row r="854" spans="1:8" x14ac:dyDescent="0.2">
      <c r="A854" s="49" t="s">
        <v>873</v>
      </c>
      <c r="B854" s="49"/>
      <c r="C854" s="49"/>
      <c r="D854" s="49"/>
      <c r="E854" s="49"/>
      <c r="F854" s="49" t="s">
        <v>868</v>
      </c>
      <c r="G854" s="49"/>
      <c r="H854" s="49"/>
    </row>
    <row r="859" spans="1:8" x14ac:dyDescent="0.2">
      <c r="A859" s="38" t="s">
        <v>874</v>
      </c>
      <c r="B859" s="38"/>
      <c r="C859" s="38"/>
      <c r="D859" s="38"/>
      <c r="E859" s="38"/>
      <c r="F859" s="38"/>
      <c r="G859" s="38"/>
      <c r="H859" s="38"/>
    </row>
    <row r="860" spans="1:8" x14ac:dyDescent="0.2">
      <c r="F860" s="129">
        <v>0.05</v>
      </c>
      <c r="G860" s="41" t="s">
        <v>550</v>
      </c>
    </row>
    <row r="861" spans="1:8" x14ac:dyDescent="0.2">
      <c r="A861" s="1" t="s">
        <v>875</v>
      </c>
      <c r="F861" s="129">
        <v>0</v>
      </c>
      <c r="G861" s="41" t="s">
        <v>552</v>
      </c>
    </row>
    <row r="862" spans="1:8" x14ac:dyDescent="0.2">
      <c r="F862" s="41">
        <v>1</v>
      </c>
      <c r="G862" s="41" t="s">
        <v>876</v>
      </c>
    </row>
    <row r="863" spans="1:8" x14ac:dyDescent="0.2">
      <c r="F863" s="41"/>
      <c r="G863" s="41"/>
    </row>
    <row r="864" spans="1:8" x14ac:dyDescent="0.2">
      <c r="A864" s="1" t="s">
        <v>877</v>
      </c>
      <c r="F864" s="41">
        <f>F862/(F860-F861)</f>
        <v>20</v>
      </c>
      <c r="G864" s="41" t="s">
        <v>878</v>
      </c>
    </row>
    <row r="865" spans="1:8" x14ac:dyDescent="0.2">
      <c r="G865" s="37"/>
    </row>
    <row r="866" spans="1:8" x14ac:dyDescent="0.2">
      <c r="A866" s="1" t="s">
        <v>879</v>
      </c>
      <c r="E866" s="130">
        <v>1000</v>
      </c>
      <c r="G866" s="1" t="s">
        <v>880</v>
      </c>
    </row>
    <row r="868" spans="1:8" x14ac:dyDescent="0.2">
      <c r="A868" s="1" t="s">
        <v>881</v>
      </c>
      <c r="E868" s="37">
        <f>F864*E866</f>
        <v>20000</v>
      </c>
      <c r="G868" s="1" t="s">
        <v>882</v>
      </c>
    </row>
    <row r="870" spans="1:8" x14ac:dyDescent="0.2">
      <c r="A870" s="38" t="s">
        <v>883</v>
      </c>
      <c r="B870" s="38"/>
      <c r="C870" s="38"/>
      <c r="D870" s="38"/>
      <c r="E870" s="38"/>
      <c r="F870" s="38"/>
      <c r="G870" s="38"/>
      <c r="H870" s="38"/>
    </row>
    <row r="871" spans="1:8" x14ac:dyDescent="0.2">
      <c r="A871" s="1" t="s">
        <v>884</v>
      </c>
    </row>
    <row r="872" spans="1:8" x14ac:dyDescent="0.2">
      <c r="A872" s="1" t="s">
        <v>885</v>
      </c>
    </row>
    <row r="873" spans="1:8" x14ac:dyDescent="0.2">
      <c r="A873" s="1" t="s">
        <v>886</v>
      </c>
    </row>
    <row r="875" spans="1:8" x14ac:dyDescent="0.2">
      <c r="A875" s="1" t="s">
        <v>887</v>
      </c>
    </row>
    <row r="876" spans="1:8" x14ac:dyDescent="0.2">
      <c r="A876" s="1" t="s">
        <v>888</v>
      </c>
    </row>
    <row r="877" spans="1:8" x14ac:dyDescent="0.2">
      <c r="A877" s="1" t="s">
        <v>889</v>
      </c>
    </row>
    <row r="879" spans="1:8" x14ac:dyDescent="0.2">
      <c r="B879" s="54"/>
      <c r="C879" s="54"/>
      <c r="D879" s="54"/>
      <c r="E879" s="2"/>
      <c r="F879" s="2"/>
      <c r="G879" s="2"/>
      <c r="H879" s="2"/>
    </row>
    <row r="880" spans="1:8" x14ac:dyDescent="0.2">
      <c r="B880" s="54"/>
      <c r="C880" s="54"/>
      <c r="D880" s="54"/>
      <c r="E880" s="2"/>
      <c r="F880" s="2"/>
      <c r="G880" s="2"/>
      <c r="H880" s="2"/>
    </row>
    <row r="881" spans="1:8" x14ac:dyDescent="0.2">
      <c r="B881" s="54" t="s">
        <v>890</v>
      </c>
      <c r="C881" s="54"/>
      <c r="D881" s="54"/>
      <c r="E881" s="600" t="s">
        <v>891</v>
      </c>
      <c r="F881" s="600"/>
      <c r="G881" s="600"/>
      <c r="H881" s="600"/>
    </row>
    <row r="884" spans="1:8" x14ac:dyDescent="0.2">
      <c r="F884" s="40">
        <v>0.05</v>
      </c>
      <c r="G884" s="37" t="s">
        <v>550</v>
      </c>
    </row>
    <row r="885" spans="1:8" x14ac:dyDescent="0.2">
      <c r="F885" s="40">
        <v>0</v>
      </c>
      <c r="G885" s="37" t="s">
        <v>552</v>
      </c>
    </row>
    <row r="886" spans="1:8" x14ac:dyDescent="0.2">
      <c r="A886" s="1" t="s">
        <v>892</v>
      </c>
      <c r="F886" s="37">
        <v>1</v>
      </c>
      <c r="G886" s="37" t="s">
        <v>893</v>
      </c>
    </row>
    <row r="887" spans="1:8" x14ac:dyDescent="0.2">
      <c r="F887" s="37"/>
      <c r="G887" s="37"/>
    </row>
    <row r="888" spans="1:8" x14ac:dyDescent="0.2">
      <c r="A888" s="1" t="s">
        <v>894</v>
      </c>
      <c r="F888" s="37">
        <f>F886/(F884-F885)*(1+F884)</f>
        <v>21</v>
      </c>
      <c r="G888" s="41" t="s">
        <v>878</v>
      </c>
    </row>
    <row r="889" spans="1:8" x14ac:dyDescent="0.2">
      <c r="F889" s="37"/>
      <c r="G889" s="41"/>
    </row>
    <row r="890" spans="1:8" x14ac:dyDescent="0.2">
      <c r="A890" s="1" t="s">
        <v>895</v>
      </c>
      <c r="F890" s="37">
        <f>F886+F886/(F884-F885)</f>
        <v>21</v>
      </c>
      <c r="G890" s="41" t="s">
        <v>878</v>
      </c>
      <c r="H890" s="1" t="s">
        <v>896</v>
      </c>
    </row>
    <row r="892" spans="1:8" x14ac:dyDescent="0.2">
      <c r="A892" s="1" t="s">
        <v>879</v>
      </c>
      <c r="E892" s="12">
        <v>1000</v>
      </c>
      <c r="G892" s="1" t="s">
        <v>880</v>
      </c>
    </row>
    <row r="894" spans="1:8" x14ac:dyDescent="0.2">
      <c r="A894" s="1" t="s">
        <v>897</v>
      </c>
      <c r="E894" s="1">
        <f>E892*F890</f>
        <v>21000</v>
      </c>
      <c r="G894" s="1" t="s">
        <v>882</v>
      </c>
    </row>
    <row r="896" spans="1:8" x14ac:dyDescent="0.2">
      <c r="A896" s="4" t="s">
        <v>898</v>
      </c>
    </row>
    <row r="899" spans="1:8" x14ac:dyDescent="0.2">
      <c r="A899" s="49" t="s">
        <v>899</v>
      </c>
      <c r="B899" s="49"/>
      <c r="C899" s="49"/>
      <c r="D899" s="49"/>
      <c r="E899" s="49"/>
      <c r="F899" s="49" t="s">
        <v>900</v>
      </c>
      <c r="G899" s="49"/>
      <c r="H899" s="49"/>
    </row>
    <row r="900" spans="1:8" x14ac:dyDescent="0.2">
      <c r="A900" s="1" t="s">
        <v>901</v>
      </c>
    </row>
    <row r="901" spans="1:8" x14ac:dyDescent="0.2">
      <c r="A901" s="1" t="s">
        <v>902</v>
      </c>
    </row>
    <row r="903" spans="1:8" x14ac:dyDescent="0.2">
      <c r="A903" s="1" t="s">
        <v>903</v>
      </c>
    </row>
    <row r="905" spans="1:8" x14ac:dyDescent="0.2">
      <c r="A905" s="4" t="s">
        <v>904</v>
      </c>
      <c r="B905" s="4"/>
      <c r="C905" s="4"/>
      <c r="D905" s="4"/>
      <c r="E905" s="4"/>
    </row>
    <row r="906" spans="1:8" x14ac:dyDescent="0.2">
      <c r="A906" s="4"/>
      <c r="B906" s="4"/>
      <c r="C906" s="4"/>
      <c r="D906" s="4"/>
      <c r="E906" s="4"/>
    </row>
    <row r="908" spans="1:8" x14ac:dyDescent="0.2">
      <c r="A908" s="49" t="s">
        <v>905</v>
      </c>
      <c r="B908" s="49"/>
      <c r="C908" s="49"/>
      <c r="D908" s="49"/>
      <c r="E908" s="49"/>
      <c r="F908" s="49" t="s">
        <v>900</v>
      </c>
      <c r="G908" s="49"/>
      <c r="H908" s="49"/>
    </row>
    <row r="909" spans="1:8" x14ac:dyDescent="0.2">
      <c r="A909" s="1" t="s">
        <v>906</v>
      </c>
      <c r="F909" s="40">
        <v>0.02</v>
      </c>
      <c r="G909" s="37" t="s">
        <v>552</v>
      </c>
    </row>
    <row r="910" spans="1:8" x14ac:dyDescent="0.2">
      <c r="A910" s="1" t="s">
        <v>907</v>
      </c>
      <c r="F910" s="37">
        <v>10</v>
      </c>
      <c r="G910" s="37" t="s">
        <v>876</v>
      </c>
    </row>
    <row r="911" spans="1:8" x14ac:dyDescent="0.2">
      <c r="A911" s="1" t="s">
        <v>908</v>
      </c>
      <c r="F911" s="37">
        <v>100</v>
      </c>
      <c r="G911" s="37" t="s">
        <v>548</v>
      </c>
    </row>
    <row r="912" spans="1:8" x14ac:dyDescent="0.2">
      <c r="G912" s="37"/>
    </row>
    <row r="913" spans="1:8" x14ac:dyDescent="0.2">
      <c r="F913" s="131">
        <f>F909+F910/F911</f>
        <v>0.12000000000000001</v>
      </c>
      <c r="G913" s="37" t="s">
        <v>909</v>
      </c>
    </row>
    <row r="915" spans="1:8" x14ac:dyDescent="0.2">
      <c r="A915" s="1" t="s">
        <v>910</v>
      </c>
    </row>
    <row r="916" spans="1:8" x14ac:dyDescent="0.2">
      <c r="A916" s="1" t="s">
        <v>911</v>
      </c>
    </row>
    <row r="918" spans="1:8" x14ac:dyDescent="0.2">
      <c r="A918" s="49" t="s">
        <v>912</v>
      </c>
      <c r="B918" s="49"/>
      <c r="C918" s="49"/>
      <c r="D918" s="49"/>
      <c r="E918" s="49"/>
      <c r="F918" s="49" t="s">
        <v>913</v>
      </c>
      <c r="G918" s="49"/>
      <c r="H918" s="49"/>
    </row>
    <row r="919" spans="1:8" x14ac:dyDescent="0.2">
      <c r="A919" s="1" t="s">
        <v>914</v>
      </c>
    </row>
    <row r="920" spans="1:8" x14ac:dyDescent="0.2">
      <c r="A920" s="1" t="s">
        <v>915</v>
      </c>
    </row>
    <row r="921" spans="1:8" x14ac:dyDescent="0.2">
      <c r="A921" s="1" t="s">
        <v>916</v>
      </c>
    </row>
    <row r="923" spans="1:8" x14ac:dyDescent="0.2">
      <c r="A923" s="1" t="s">
        <v>917</v>
      </c>
    </row>
    <row r="925" spans="1:8" x14ac:dyDescent="0.2">
      <c r="A925" s="39" t="s">
        <v>918</v>
      </c>
      <c r="B925" s="39" t="s">
        <v>919</v>
      </c>
      <c r="C925" s="39" t="s">
        <v>920</v>
      </c>
    </row>
    <row r="926" spans="1:8" x14ac:dyDescent="0.2">
      <c r="A926" s="132" t="s">
        <v>921</v>
      </c>
      <c r="B926" s="132" t="s">
        <v>922</v>
      </c>
      <c r="C926" s="132">
        <v>0.7</v>
      </c>
    </row>
    <row r="927" spans="1:8" x14ac:dyDescent="0.2">
      <c r="A927" s="37" t="s">
        <v>923</v>
      </c>
      <c r="B927" s="37">
        <v>1</v>
      </c>
      <c r="C927" s="37">
        <v>0.77</v>
      </c>
    </row>
    <row r="929" spans="1:8" x14ac:dyDescent="0.2">
      <c r="A929" s="1" t="s">
        <v>924</v>
      </c>
    </row>
    <row r="930" spans="1:8" x14ac:dyDescent="0.2">
      <c r="A930" s="1" t="s">
        <v>925</v>
      </c>
    </row>
    <row r="931" spans="1:8" x14ac:dyDescent="0.2">
      <c r="A931" s="1" t="s">
        <v>926</v>
      </c>
    </row>
    <row r="932" spans="1:8" x14ac:dyDescent="0.2">
      <c r="A932" s="1" t="s">
        <v>927</v>
      </c>
    </row>
    <row r="934" spans="1:8" x14ac:dyDescent="0.2">
      <c r="G934" s="1">
        <v>0.77</v>
      </c>
      <c r="H934" s="1" t="s">
        <v>928</v>
      </c>
    </row>
    <row r="935" spans="1:8" x14ac:dyDescent="0.2">
      <c r="G935" s="11">
        <v>0.15</v>
      </c>
      <c r="H935" s="1" t="s">
        <v>909</v>
      </c>
    </row>
    <row r="936" spans="1:8" x14ac:dyDescent="0.2">
      <c r="C936" s="1" t="s">
        <v>890</v>
      </c>
      <c r="G936" s="11">
        <v>0.1</v>
      </c>
      <c r="H936" s="1" t="s">
        <v>929</v>
      </c>
    </row>
    <row r="938" spans="1:8" x14ac:dyDescent="0.2">
      <c r="G938" s="1">
        <f>G934/(G935-G936)</f>
        <v>15.400000000000004</v>
      </c>
      <c r="H938" s="1" t="s">
        <v>878</v>
      </c>
    </row>
    <row r="941" spans="1:8" x14ac:dyDescent="0.2">
      <c r="A941" s="49" t="s">
        <v>930</v>
      </c>
      <c r="B941" s="49"/>
      <c r="C941" s="49"/>
      <c r="D941" s="49"/>
      <c r="E941" s="49"/>
      <c r="F941" s="49" t="s">
        <v>931</v>
      </c>
      <c r="G941" s="49"/>
      <c r="H941" s="49"/>
    </row>
    <row r="942" spans="1:8" x14ac:dyDescent="0.2">
      <c r="A942" s="1" t="s">
        <v>932</v>
      </c>
    </row>
    <row r="943" spans="1:8" x14ac:dyDescent="0.2">
      <c r="A943" s="1" t="s">
        <v>933</v>
      </c>
    </row>
    <row r="944" spans="1:8" x14ac:dyDescent="0.2">
      <c r="A944" s="1" t="s">
        <v>934</v>
      </c>
    </row>
    <row r="946" spans="1:9" x14ac:dyDescent="0.2">
      <c r="A946" s="49" t="s">
        <v>935</v>
      </c>
      <c r="B946" s="49"/>
      <c r="C946" s="49"/>
      <c r="D946" s="49"/>
      <c r="E946" s="49"/>
      <c r="F946" s="49" t="s">
        <v>931</v>
      </c>
      <c r="G946" s="49"/>
      <c r="H946" s="49"/>
      <c r="I946" s="13"/>
    </row>
    <row r="948" spans="1:9" x14ac:dyDescent="0.2">
      <c r="C948" s="39" t="s">
        <v>919</v>
      </c>
      <c r="D948" s="39" t="s">
        <v>936</v>
      </c>
      <c r="F948" s="40">
        <v>0.05</v>
      </c>
      <c r="G948" s="1" t="s">
        <v>937</v>
      </c>
    </row>
    <row r="949" spans="1:9" x14ac:dyDescent="0.2">
      <c r="C949" s="37">
        <v>1</v>
      </c>
      <c r="D949" s="37">
        <v>20</v>
      </c>
      <c r="F949" s="40">
        <v>0.15</v>
      </c>
      <c r="G949" s="1" t="s">
        <v>909</v>
      </c>
    </row>
    <row r="950" spans="1:9" x14ac:dyDescent="0.2">
      <c r="C950" s="37">
        <v>2</v>
      </c>
      <c r="D950" s="37">
        <v>30</v>
      </c>
    </row>
    <row r="951" spans="1:9" x14ac:dyDescent="0.2">
      <c r="A951" s="1" t="s">
        <v>938</v>
      </c>
      <c r="C951" s="121">
        <v>3</v>
      </c>
      <c r="D951" s="121">
        <v>35</v>
      </c>
      <c r="F951" s="37" t="s">
        <v>53</v>
      </c>
      <c r="G951" s="1" t="s">
        <v>878</v>
      </c>
    </row>
    <row r="952" spans="1:9" x14ac:dyDescent="0.2">
      <c r="A952" s="1" t="s">
        <v>939</v>
      </c>
      <c r="C952" s="2"/>
      <c r="D952" s="121" t="s">
        <v>940</v>
      </c>
    </row>
    <row r="953" spans="1:9" x14ac:dyDescent="0.2">
      <c r="A953" s="1" t="s">
        <v>941</v>
      </c>
      <c r="C953" s="2"/>
      <c r="D953" s="2"/>
    </row>
    <row r="954" spans="1:9" x14ac:dyDescent="0.2">
      <c r="A954" s="1" t="s">
        <v>942</v>
      </c>
      <c r="C954" s="2"/>
      <c r="D954" s="2" t="s">
        <v>943</v>
      </c>
    </row>
    <row r="956" spans="1:9" x14ac:dyDescent="0.2">
      <c r="A956" s="4" t="s">
        <v>944</v>
      </c>
    </row>
    <row r="957" spans="1:9" x14ac:dyDescent="0.2">
      <c r="A957" s="1" t="s">
        <v>945</v>
      </c>
    </row>
    <row r="958" spans="1:9" x14ac:dyDescent="0.2">
      <c r="A958" s="1" t="s">
        <v>946</v>
      </c>
    </row>
    <row r="960" spans="1:9" x14ac:dyDescent="0.2">
      <c r="A960" s="1" t="s">
        <v>947</v>
      </c>
    </row>
    <row r="961" spans="1:7" x14ac:dyDescent="0.2">
      <c r="A961" s="1" t="s">
        <v>948</v>
      </c>
    </row>
    <row r="965" spans="1:7" x14ac:dyDescent="0.2">
      <c r="A965" s="4" t="s">
        <v>949</v>
      </c>
      <c r="B965" s="4"/>
      <c r="C965" s="4"/>
      <c r="D965" s="4"/>
      <c r="E965" s="4"/>
      <c r="F965" s="4"/>
    </row>
    <row r="966" spans="1:7" x14ac:dyDescent="0.2">
      <c r="A966" s="4"/>
      <c r="B966" s="4"/>
      <c r="C966" s="4"/>
      <c r="D966" s="4"/>
      <c r="E966" s="4"/>
      <c r="F966" s="4"/>
    </row>
    <row r="967" spans="1:7" ht="17" thickBot="1" x14ac:dyDescent="0.25">
      <c r="A967" s="4"/>
      <c r="B967" s="4"/>
      <c r="C967" s="39" t="s">
        <v>919</v>
      </c>
      <c r="D967" s="37" t="s">
        <v>936</v>
      </c>
      <c r="E967" s="25" t="s">
        <v>950</v>
      </c>
      <c r="F967" s="133"/>
      <c r="G967" s="25"/>
    </row>
    <row r="968" spans="1:7" ht="17" thickBot="1" x14ac:dyDescent="0.25">
      <c r="A968" s="4"/>
      <c r="B968" s="4"/>
      <c r="C968" s="37">
        <v>1</v>
      </c>
      <c r="D968" s="134">
        <v>20</v>
      </c>
      <c r="E968" s="4"/>
      <c r="F968" s="4"/>
    </row>
    <row r="969" spans="1:7" ht="17" thickBot="1" x14ac:dyDescent="0.25">
      <c r="A969" s="4"/>
      <c r="B969" s="4"/>
      <c r="C969" s="37">
        <v>2</v>
      </c>
      <c r="D969" s="134">
        <v>30</v>
      </c>
      <c r="E969" s="134">
        <v>350</v>
      </c>
      <c r="F969" s="4"/>
    </row>
    <row r="970" spans="1:7" x14ac:dyDescent="0.2">
      <c r="A970" s="4"/>
      <c r="B970" s="4"/>
      <c r="C970" s="4"/>
      <c r="D970" s="4"/>
      <c r="E970" s="4"/>
      <c r="F970" s="4"/>
    </row>
    <row r="971" spans="1:7" x14ac:dyDescent="0.2">
      <c r="A971" s="4"/>
      <c r="B971" s="1" t="s">
        <v>951</v>
      </c>
      <c r="C971" s="4"/>
      <c r="D971" s="4"/>
      <c r="E971" s="4"/>
      <c r="F971" s="1" t="s">
        <v>952</v>
      </c>
    </row>
    <row r="972" spans="1:7" x14ac:dyDescent="0.2">
      <c r="A972" s="4"/>
      <c r="C972" s="4"/>
      <c r="D972" s="4"/>
      <c r="E972" s="4"/>
      <c r="F972" s="4"/>
    </row>
    <row r="973" spans="1:7" x14ac:dyDescent="0.2">
      <c r="A973" s="4"/>
      <c r="B973" s="4"/>
      <c r="C973" s="4"/>
      <c r="D973" s="4"/>
      <c r="E973" s="4"/>
      <c r="F973" s="4"/>
    </row>
    <row r="976" spans="1:7" x14ac:dyDescent="0.2">
      <c r="C976" s="1" t="s">
        <v>953</v>
      </c>
      <c r="E976" s="1" t="s">
        <v>954</v>
      </c>
    </row>
    <row r="977" spans="1:8" x14ac:dyDescent="0.2">
      <c r="C977" s="1" t="s">
        <v>955</v>
      </c>
      <c r="E977" s="1" t="s">
        <v>956</v>
      </c>
    </row>
    <row r="978" spans="1:8" x14ac:dyDescent="0.2">
      <c r="C978" s="1" t="s">
        <v>957</v>
      </c>
    </row>
    <row r="980" spans="1:8" x14ac:dyDescent="0.2">
      <c r="A980" s="49" t="s">
        <v>958</v>
      </c>
      <c r="B980" s="49"/>
      <c r="C980" s="49"/>
      <c r="D980" s="49"/>
      <c r="E980" s="49"/>
      <c r="F980" s="49" t="s">
        <v>959</v>
      </c>
      <c r="G980" s="49"/>
      <c r="H980" s="49"/>
    </row>
    <row r="981" spans="1:8" x14ac:dyDescent="0.2">
      <c r="A981" s="1" t="s">
        <v>960</v>
      </c>
    </row>
    <row r="982" spans="1:8" x14ac:dyDescent="0.2">
      <c r="A982" s="1" t="s">
        <v>961</v>
      </c>
    </row>
    <row r="983" spans="1:8" x14ac:dyDescent="0.2">
      <c r="A983" s="1" t="s">
        <v>962</v>
      </c>
    </row>
    <row r="988" spans="1:8" x14ac:dyDescent="0.2">
      <c r="A988" s="49" t="s">
        <v>963</v>
      </c>
      <c r="B988" s="49"/>
      <c r="C988" s="49"/>
      <c r="D988" s="49"/>
      <c r="E988" s="49"/>
      <c r="F988" s="49" t="s">
        <v>959</v>
      </c>
      <c r="G988" s="49"/>
      <c r="H988" s="49"/>
    </row>
    <row r="990" spans="1:8" x14ac:dyDescent="0.2">
      <c r="A990" s="1" t="s">
        <v>964</v>
      </c>
    </row>
    <row r="994" spans="1:8" x14ac:dyDescent="0.2">
      <c r="A994" s="49" t="s">
        <v>965</v>
      </c>
      <c r="B994" s="49"/>
      <c r="C994" s="49"/>
      <c r="D994" s="49"/>
      <c r="E994" s="49"/>
      <c r="F994" s="49" t="s">
        <v>966</v>
      </c>
      <c r="G994" s="49"/>
      <c r="H994" s="49"/>
    </row>
    <row r="995" spans="1:8" x14ac:dyDescent="0.2">
      <c r="A995" s="1" t="s">
        <v>967</v>
      </c>
    </row>
    <row r="996" spans="1:8" x14ac:dyDescent="0.2">
      <c r="A996" s="1" t="s">
        <v>968</v>
      </c>
    </row>
    <row r="997" spans="1:8" x14ac:dyDescent="0.2">
      <c r="A997" s="1" t="s">
        <v>969</v>
      </c>
    </row>
    <row r="999" spans="1:8" x14ac:dyDescent="0.2">
      <c r="B999" s="54"/>
      <c r="C999" s="54"/>
      <c r="D999" s="54"/>
      <c r="E999" s="2"/>
      <c r="F999" s="2"/>
      <c r="G999" s="2"/>
      <c r="H999" s="2"/>
    </row>
    <row r="1000" spans="1:8" x14ac:dyDescent="0.2">
      <c r="B1000" s="54"/>
      <c r="C1000" s="54"/>
      <c r="D1000" s="54"/>
      <c r="E1000" s="2"/>
      <c r="F1000" s="2"/>
      <c r="G1000" s="2"/>
      <c r="H1000" s="2"/>
    </row>
    <row r="1001" spans="1:8" x14ac:dyDescent="0.2">
      <c r="B1001" s="54" t="s">
        <v>890</v>
      </c>
      <c r="C1001" s="54"/>
      <c r="D1001" s="54"/>
      <c r="E1001" s="600" t="s">
        <v>891</v>
      </c>
      <c r="F1001" s="600"/>
      <c r="G1001" s="600"/>
      <c r="H1001" s="600"/>
    </row>
    <row r="1004" spans="1:8" x14ac:dyDescent="0.2">
      <c r="E1004" s="1" t="s">
        <v>970</v>
      </c>
    </row>
    <row r="1005" spans="1:8" x14ac:dyDescent="0.2">
      <c r="E1005" s="1" t="s">
        <v>971</v>
      </c>
    </row>
    <row r="1010" spans="1:9" x14ac:dyDescent="0.2">
      <c r="G1010" s="1" t="s">
        <v>972</v>
      </c>
      <c r="I1010" s="1" t="s">
        <v>973</v>
      </c>
    </row>
    <row r="1013" spans="1:9" x14ac:dyDescent="0.2">
      <c r="E1013" s="4" t="s">
        <v>974</v>
      </c>
    </row>
    <row r="1014" spans="1:9" x14ac:dyDescent="0.2">
      <c r="E1014" s="4" t="s">
        <v>975</v>
      </c>
    </row>
    <row r="1016" spans="1:9" x14ac:dyDescent="0.2">
      <c r="A1016" s="1" t="s">
        <v>976</v>
      </c>
    </row>
    <row r="1017" spans="1:9" x14ac:dyDescent="0.2">
      <c r="A1017" s="1" t="s">
        <v>977</v>
      </c>
    </row>
    <row r="1018" spans="1:9" x14ac:dyDescent="0.2">
      <c r="A1018" s="1" t="s">
        <v>978</v>
      </c>
    </row>
    <row r="1019" spans="1:9" x14ac:dyDescent="0.2">
      <c r="A1019" s="1" t="s">
        <v>979</v>
      </c>
    </row>
    <row r="1020" spans="1:9" x14ac:dyDescent="0.2">
      <c r="I1020" s="1" t="s">
        <v>973</v>
      </c>
    </row>
    <row r="1024" spans="1:9" x14ac:dyDescent="0.2">
      <c r="A1024" s="49" t="s">
        <v>980</v>
      </c>
      <c r="B1024" s="49"/>
      <c r="C1024" s="49"/>
      <c r="D1024" s="49"/>
      <c r="E1024" s="49"/>
      <c r="F1024" s="49" t="s">
        <v>981</v>
      </c>
      <c r="G1024" s="49"/>
      <c r="H1024" s="49"/>
    </row>
    <row r="1025" spans="1:1" x14ac:dyDescent="0.2">
      <c r="A1025" s="1" t="s">
        <v>982</v>
      </c>
    </row>
    <row r="1026" spans="1:1" x14ac:dyDescent="0.2">
      <c r="A1026" s="1" t="s">
        <v>983</v>
      </c>
    </row>
    <row r="1027" spans="1:1" x14ac:dyDescent="0.2">
      <c r="A1027" s="1" t="s">
        <v>984</v>
      </c>
    </row>
    <row r="1029" spans="1:1" x14ac:dyDescent="0.2">
      <c r="A1029" s="1" t="s">
        <v>282</v>
      </c>
    </row>
    <row r="1030" spans="1:1" x14ac:dyDescent="0.2">
      <c r="A1030" s="1" t="s">
        <v>985</v>
      </c>
    </row>
    <row r="1031" spans="1:1" x14ac:dyDescent="0.2">
      <c r="A1031" s="1" t="s">
        <v>986</v>
      </c>
    </row>
    <row r="1032" spans="1:1" x14ac:dyDescent="0.2">
      <c r="A1032" s="1" t="s">
        <v>987</v>
      </c>
    </row>
    <row r="1034" spans="1:1" x14ac:dyDescent="0.2">
      <c r="A1034" s="4" t="s">
        <v>378</v>
      </c>
    </row>
    <row r="1035" spans="1:1" x14ac:dyDescent="0.2">
      <c r="A1035" s="1" t="s">
        <v>988</v>
      </c>
    </row>
    <row r="1036" spans="1:1" x14ac:dyDescent="0.2">
      <c r="A1036" s="1" t="s">
        <v>989</v>
      </c>
    </row>
    <row r="1037" spans="1:1" x14ac:dyDescent="0.2">
      <c r="A1037" s="1" t="s">
        <v>990</v>
      </c>
    </row>
    <row r="1039" spans="1:1" x14ac:dyDescent="0.2">
      <c r="A1039" s="1" t="s">
        <v>991</v>
      </c>
    </row>
    <row r="1040" spans="1:1" x14ac:dyDescent="0.2">
      <c r="A1040" s="1" t="s">
        <v>992</v>
      </c>
    </row>
  </sheetData>
  <mergeCells count="14">
    <mergeCell ref="E750:G752"/>
    <mergeCell ref="E881:H881"/>
    <mergeCell ref="E1001:H1001"/>
    <mergeCell ref="F272:G272"/>
    <mergeCell ref="F274:G274"/>
    <mergeCell ref="A843:H843"/>
    <mergeCell ref="B361:C361"/>
    <mergeCell ref="D359:E359"/>
    <mergeCell ref="C444:D444"/>
    <mergeCell ref="F485:G485"/>
    <mergeCell ref="F475:G475"/>
    <mergeCell ref="F497:G497"/>
    <mergeCell ref="E498:F498"/>
    <mergeCell ref="G493:G494"/>
  </mergeCells>
  <pageMargins left="0.7" right="0.7" top="0.75" bottom="0.75" header="0.3" footer="0.3"/>
  <pageSetup paperSize="9" orientation="portrait" horizontalDpi="0" verticalDpi="0"/>
  <ignoredErrors>
    <ignoredError sqref="D403 D716:D719" formulaRange="1"/>
  </ignoredErrors>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F6F64C-2A62-EA47-9E70-D4DFB8307E2D}">
  <dimension ref="A1:M808"/>
  <sheetViews>
    <sheetView rightToLeft="1" topLeftCell="A738" zoomScale="214" workbookViewId="0">
      <selection activeCell="E765" sqref="E765"/>
    </sheetView>
  </sheetViews>
  <sheetFormatPr baseColWidth="10" defaultColWidth="10.83203125" defaultRowHeight="16" x14ac:dyDescent="0.2"/>
  <cols>
    <col min="1" max="2" width="10.83203125" style="1"/>
    <col min="3" max="3" width="11.33203125" style="1" customWidth="1"/>
    <col min="4" max="6" width="10.83203125" style="1"/>
    <col min="7" max="7" width="11.33203125" style="1" customWidth="1"/>
    <col min="8" max="16384" width="10.83203125" style="1"/>
  </cols>
  <sheetData>
    <row r="1" spans="1:8" x14ac:dyDescent="0.2">
      <c r="A1" s="3" t="s">
        <v>993</v>
      </c>
      <c r="B1" s="2"/>
      <c r="C1" s="2"/>
      <c r="D1" s="2"/>
      <c r="E1" s="2"/>
      <c r="F1" s="2"/>
      <c r="G1" s="2"/>
      <c r="H1" s="46">
        <v>45642</v>
      </c>
    </row>
    <row r="2" spans="1:8" ht="17" thickBot="1" x14ac:dyDescent="0.25"/>
    <row r="3" spans="1:8" x14ac:dyDescent="0.2">
      <c r="A3" s="57" t="s">
        <v>994</v>
      </c>
      <c r="B3" s="17"/>
      <c r="C3" s="17"/>
      <c r="D3" s="17"/>
      <c r="E3" s="17"/>
      <c r="F3" s="17"/>
      <c r="G3" s="17"/>
      <c r="H3" s="18"/>
    </row>
    <row r="4" spans="1:8" x14ac:dyDescent="0.2">
      <c r="A4" s="19" t="s">
        <v>995</v>
      </c>
      <c r="H4" s="20"/>
    </row>
    <row r="5" spans="1:8" x14ac:dyDescent="0.2">
      <c r="A5" s="19" t="s">
        <v>996</v>
      </c>
      <c r="H5" s="20"/>
    </row>
    <row r="6" spans="1:8" x14ac:dyDescent="0.2">
      <c r="A6" s="19" t="s">
        <v>997</v>
      </c>
      <c r="H6" s="20"/>
    </row>
    <row r="7" spans="1:8" ht="17" thickBot="1" x14ac:dyDescent="0.25">
      <c r="A7" s="21" t="s">
        <v>998</v>
      </c>
      <c r="B7" s="22"/>
      <c r="C7" s="22"/>
      <c r="D7" s="22"/>
      <c r="E7" s="22"/>
      <c r="F7" s="22"/>
      <c r="G7" s="22"/>
      <c r="H7" s="23"/>
    </row>
    <row r="9" spans="1:8" x14ac:dyDescent="0.2">
      <c r="A9" s="5" t="s">
        <v>999</v>
      </c>
      <c r="B9" s="6"/>
      <c r="C9" s="6"/>
      <c r="D9" s="6"/>
      <c r="E9" s="6"/>
      <c r="F9" s="6"/>
      <c r="G9" s="6"/>
      <c r="H9" s="6"/>
    </row>
    <row r="11" spans="1:8" x14ac:dyDescent="0.2">
      <c r="E11" s="1" t="s">
        <v>546</v>
      </c>
    </row>
    <row r="12" spans="1:8" x14ac:dyDescent="0.2">
      <c r="A12" s="1" t="s">
        <v>547</v>
      </c>
      <c r="E12" s="37" t="s">
        <v>548</v>
      </c>
      <c r="F12" s="1" t="s">
        <v>549</v>
      </c>
    </row>
    <row r="13" spans="1:8" x14ac:dyDescent="0.2">
      <c r="E13" s="37" t="s">
        <v>550</v>
      </c>
      <c r="F13" s="1" t="s">
        <v>551</v>
      </c>
    </row>
    <row r="14" spans="1:8" x14ac:dyDescent="0.2">
      <c r="E14" s="37" t="s">
        <v>552</v>
      </c>
      <c r="F14" s="1" t="s">
        <v>553</v>
      </c>
    </row>
    <row r="15" spans="1:8" x14ac:dyDescent="0.2">
      <c r="E15" s="37" t="s">
        <v>554</v>
      </c>
      <c r="F15" s="1" t="s">
        <v>555</v>
      </c>
    </row>
    <row r="16" spans="1:8" x14ac:dyDescent="0.2">
      <c r="A16" s="1" t="s">
        <v>556</v>
      </c>
      <c r="E16" s="37" t="s">
        <v>557</v>
      </c>
      <c r="F16" s="1" t="s">
        <v>558</v>
      </c>
    </row>
    <row r="17" spans="1:6" x14ac:dyDescent="0.2">
      <c r="E17" s="37" t="s">
        <v>559</v>
      </c>
      <c r="F17" s="1" t="s">
        <v>560</v>
      </c>
    </row>
    <row r="20" spans="1:6" x14ac:dyDescent="0.2">
      <c r="A20" s="1" t="s">
        <v>561</v>
      </c>
    </row>
    <row r="25" spans="1:6" x14ac:dyDescent="0.2">
      <c r="A25" s="1" t="s">
        <v>562</v>
      </c>
    </row>
    <row r="29" spans="1:6" x14ac:dyDescent="0.2">
      <c r="A29" s="1" t="s">
        <v>563</v>
      </c>
    </row>
    <row r="33" spans="1:3" x14ac:dyDescent="0.2">
      <c r="A33" s="1" t="s">
        <v>564</v>
      </c>
    </row>
    <row r="37" spans="1:3" x14ac:dyDescent="0.2">
      <c r="A37" s="1" t="s">
        <v>1000</v>
      </c>
    </row>
    <row r="41" spans="1:3" x14ac:dyDescent="0.2">
      <c r="A41" s="1" t="s">
        <v>79</v>
      </c>
    </row>
    <row r="42" spans="1:3" x14ac:dyDescent="0.2">
      <c r="B42" s="37" t="s">
        <v>550</v>
      </c>
      <c r="C42" s="1" t="s">
        <v>1001</v>
      </c>
    </row>
    <row r="43" spans="1:3" x14ac:dyDescent="0.2">
      <c r="B43" s="37" t="s">
        <v>1002</v>
      </c>
      <c r="C43" s="1" t="s">
        <v>1003</v>
      </c>
    </row>
    <row r="44" spans="1:3" x14ac:dyDescent="0.2">
      <c r="B44" s="37" t="s">
        <v>1004</v>
      </c>
      <c r="C44" s="1" t="s">
        <v>1005</v>
      </c>
    </row>
    <row r="45" spans="1:3" x14ac:dyDescent="0.2">
      <c r="B45" s="170" t="s">
        <v>1006</v>
      </c>
      <c r="C45" s="1" t="s">
        <v>1007</v>
      </c>
    </row>
    <row r="47" spans="1:3" x14ac:dyDescent="0.2">
      <c r="A47" s="1" t="s">
        <v>1008</v>
      </c>
    </row>
    <row r="49" spans="1:8" x14ac:dyDescent="0.2">
      <c r="A49" s="1" t="s">
        <v>1009</v>
      </c>
    </row>
    <row r="50" spans="1:8" x14ac:dyDescent="0.2">
      <c r="A50" s="1" t="s">
        <v>1010</v>
      </c>
    </row>
    <row r="52" spans="1:8" x14ac:dyDescent="0.2">
      <c r="A52" s="1" t="s">
        <v>79</v>
      </c>
    </row>
    <row r="53" spans="1:8" x14ac:dyDescent="0.2">
      <c r="B53" s="1" t="s">
        <v>1011</v>
      </c>
      <c r="C53" s="1" t="s">
        <v>1012</v>
      </c>
    </row>
    <row r="54" spans="1:8" x14ac:dyDescent="0.2">
      <c r="B54" s="1" t="s">
        <v>1013</v>
      </c>
      <c r="C54" s="1" t="s">
        <v>1014</v>
      </c>
    </row>
    <row r="56" spans="1:8" x14ac:dyDescent="0.2">
      <c r="A56" s="1" t="s">
        <v>1015</v>
      </c>
    </row>
    <row r="61" spans="1:8" x14ac:dyDescent="0.2">
      <c r="A61" s="153" t="s">
        <v>1081</v>
      </c>
      <c r="B61" s="153"/>
      <c r="C61" s="153"/>
      <c r="D61" s="153"/>
      <c r="E61" s="153"/>
      <c r="F61" s="153"/>
      <c r="G61" s="153"/>
      <c r="H61" s="153"/>
    </row>
    <row r="62" spans="1:8" x14ac:dyDescent="0.2">
      <c r="A62" s="1" t="s">
        <v>1082</v>
      </c>
    </row>
    <row r="63" spans="1:8" x14ac:dyDescent="0.2">
      <c r="A63" s="1" t="s">
        <v>2972</v>
      </c>
    </row>
    <row r="64" spans="1:8" x14ac:dyDescent="0.2">
      <c r="A64" s="1" t="s">
        <v>2973</v>
      </c>
    </row>
    <row r="66" spans="1:9" x14ac:dyDescent="0.2">
      <c r="A66" s="39" t="s">
        <v>1083</v>
      </c>
      <c r="B66" s="39" t="s">
        <v>1084</v>
      </c>
      <c r="C66" s="39" t="s">
        <v>1085</v>
      </c>
      <c r="D66" s="39" t="s">
        <v>412</v>
      </c>
      <c r="E66" s="39" t="s">
        <v>1086</v>
      </c>
      <c r="F66" s="438" t="s">
        <v>1087</v>
      </c>
      <c r="G66" s="25"/>
      <c r="H66" s="25" t="s">
        <v>2969</v>
      </c>
      <c r="I66" s="1" t="s">
        <v>2970</v>
      </c>
    </row>
    <row r="67" spans="1:9" x14ac:dyDescent="0.2">
      <c r="A67" s="37">
        <v>50</v>
      </c>
      <c r="B67" s="37">
        <v>100</v>
      </c>
      <c r="C67" s="37">
        <v>280</v>
      </c>
      <c r="D67" s="37">
        <v>300</v>
      </c>
      <c r="E67" s="37">
        <v>400</v>
      </c>
      <c r="F67" s="121">
        <v>100</v>
      </c>
      <c r="H67" s="1" t="s">
        <v>1088</v>
      </c>
      <c r="I67" s="1" t="s">
        <v>2975</v>
      </c>
    </row>
    <row r="68" spans="1:9" x14ac:dyDescent="0.2">
      <c r="A68" s="37">
        <v>400</v>
      </c>
      <c r="B68" s="175">
        <v>142.85714285714286</v>
      </c>
      <c r="C68" s="37">
        <v>350</v>
      </c>
      <c r="D68" s="37">
        <v>500</v>
      </c>
      <c r="E68" s="37">
        <v>800</v>
      </c>
      <c r="F68" s="121">
        <v>500</v>
      </c>
      <c r="H68" s="1" t="s">
        <v>1089</v>
      </c>
      <c r="I68" s="1" t="s">
        <v>2971</v>
      </c>
    </row>
    <row r="69" spans="1:9" x14ac:dyDescent="0.2">
      <c r="A69" s="37">
        <v>3</v>
      </c>
      <c r="B69" s="37">
        <v>7</v>
      </c>
      <c r="C69" s="37">
        <v>10</v>
      </c>
      <c r="D69" s="37">
        <v>8</v>
      </c>
      <c r="E69" s="37">
        <v>4</v>
      </c>
      <c r="F69" s="121" t="s">
        <v>53</v>
      </c>
      <c r="H69" s="1" t="s">
        <v>580</v>
      </c>
      <c r="I69" s="1" t="s">
        <v>1269</v>
      </c>
    </row>
    <row r="71" spans="1:9" x14ac:dyDescent="0.2">
      <c r="A71" s="1" t="s">
        <v>2974</v>
      </c>
    </row>
    <row r="73" spans="1:9" x14ac:dyDescent="0.2">
      <c r="A73" s="4" t="s">
        <v>198</v>
      </c>
    </row>
    <row r="74" spans="1:9" x14ac:dyDescent="0.2">
      <c r="A74" s="1" t="s">
        <v>1090</v>
      </c>
    </row>
    <row r="75" spans="1:9" x14ac:dyDescent="0.2">
      <c r="A75" s="1" t="s">
        <v>1091</v>
      </c>
    </row>
    <row r="76" spans="1:9" x14ac:dyDescent="0.2">
      <c r="A76" s="1" t="s">
        <v>1092</v>
      </c>
    </row>
    <row r="77" spans="1:9" x14ac:dyDescent="0.2">
      <c r="A77" s="1" t="s">
        <v>1093</v>
      </c>
    </row>
    <row r="78" spans="1:9" x14ac:dyDescent="0.2">
      <c r="A78" s="1" t="s">
        <v>1094</v>
      </c>
    </row>
    <row r="80" spans="1:9" x14ac:dyDescent="0.2">
      <c r="A80" s="1" t="s">
        <v>1095</v>
      </c>
    </row>
    <row r="81" spans="1:9" x14ac:dyDescent="0.2">
      <c r="A81" s="1" t="s">
        <v>1096</v>
      </c>
    </row>
    <row r="83" spans="1:9" x14ac:dyDescent="0.2">
      <c r="A83" s="39" t="s">
        <v>1083</v>
      </c>
      <c r="B83" s="39" t="s">
        <v>1084</v>
      </c>
      <c r="C83" s="39" t="s">
        <v>1085</v>
      </c>
      <c r="D83" s="39" t="s">
        <v>412</v>
      </c>
      <c r="E83" s="39" t="s">
        <v>1086</v>
      </c>
      <c r="F83" s="39" t="s">
        <v>1087</v>
      </c>
      <c r="G83" s="25"/>
      <c r="H83" s="25"/>
    </row>
    <row r="84" spans="1:9" x14ac:dyDescent="0.2">
      <c r="A84" s="37">
        <v>50</v>
      </c>
      <c r="B84" s="37">
        <v>100</v>
      </c>
      <c r="C84" s="37">
        <v>280</v>
      </c>
      <c r="D84" s="37">
        <v>300</v>
      </c>
      <c r="E84" s="37">
        <v>400</v>
      </c>
      <c r="F84" s="37">
        <v>100</v>
      </c>
      <c r="H84" s="1" t="s">
        <v>1088</v>
      </c>
      <c r="I84" s="1" t="s">
        <v>2975</v>
      </c>
    </row>
    <row r="85" spans="1:9" x14ac:dyDescent="0.2">
      <c r="A85" s="37">
        <v>400</v>
      </c>
      <c r="B85" s="175">
        <v>142.85714285714286</v>
      </c>
      <c r="C85" s="37">
        <v>350</v>
      </c>
      <c r="D85" s="37">
        <v>500</v>
      </c>
      <c r="E85" s="37">
        <v>800</v>
      </c>
      <c r="F85" s="37">
        <v>500</v>
      </c>
      <c r="H85" s="1" t="s">
        <v>1089</v>
      </c>
      <c r="I85" s="1" t="s">
        <v>2971</v>
      </c>
    </row>
    <row r="86" spans="1:9" x14ac:dyDescent="0.2">
      <c r="A86" s="62">
        <v>3</v>
      </c>
      <c r="B86" s="62">
        <v>7</v>
      </c>
      <c r="C86" s="62">
        <v>10</v>
      </c>
      <c r="D86" s="62">
        <v>8</v>
      </c>
      <c r="E86" s="62">
        <v>4</v>
      </c>
      <c r="F86" s="62" t="s">
        <v>53</v>
      </c>
      <c r="H86" s="1" t="s">
        <v>580</v>
      </c>
      <c r="I86" s="1" t="s">
        <v>1269</v>
      </c>
    </row>
    <row r="87" spans="1:9" x14ac:dyDescent="0.2">
      <c r="A87" s="181">
        <f t="shared" ref="A87:F87" si="0">A84/A85</f>
        <v>0.125</v>
      </c>
      <c r="B87" s="181">
        <f t="shared" si="0"/>
        <v>0.7</v>
      </c>
      <c r="C87" s="181">
        <f t="shared" si="0"/>
        <v>0.8</v>
      </c>
      <c r="D87" s="181">
        <f t="shared" si="0"/>
        <v>0.6</v>
      </c>
      <c r="E87" s="181">
        <f t="shared" si="0"/>
        <v>0.5</v>
      </c>
      <c r="F87" s="181">
        <f t="shared" si="0"/>
        <v>0.2</v>
      </c>
      <c r="H87" s="1" t="s">
        <v>1097</v>
      </c>
      <c r="I87" s="1" t="s">
        <v>2976</v>
      </c>
    </row>
    <row r="88" spans="1:9" x14ac:dyDescent="0.2">
      <c r="A88" s="182">
        <f>A86/A87</f>
        <v>24</v>
      </c>
      <c r="B88" s="182">
        <f>B86/B87</f>
        <v>10</v>
      </c>
      <c r="C88" s="182">
        <f>C86/C87</f>
        <v>12.5</v>
      </c>
      <c r="D88" s="183">
        <f>D86/D87</f>
        <v>13.333333333333334</v>
      </c>
      <c r="E88" s="182">
        <f>E86/E87</f>
        <v>8</v>
      </c>
      <c r="F88" s="62" t="s">
        <v>1098</v>
      </c>
      <c r="H88" s="1" t="s">
        <v>1099</v>
      </c>
      <c r="I88" s="1" t="s">
        <v>2977</v>
      </c>
    </row>
    <row r="89" spans="1:9" ht="17" thickBot="1" x14ac:dyDescent="0.25">
      <c r="A89" s="60"/>
      <c r="B89" s="60"/>
      <c r="C89" s="60"/>
      <c r="D89" s="60"/>
      <c r="E89" s="60"/>
      <c r="F89" s="184">
        <f>AVERAGE(A88:E88)</f>
        <v>13.566666666666668</v>
      </c>
      <c r="H89" s="1" t="s">
        <v>1100</v>
      </c>
    </row>
    <row r="90" spans="1:9" ht="17" thickBot="1" x14ac:dyDescent="0.25">
      <c r="A90" s="60"/>
      <c r="B90" s="60"/>
      <c r="C90" s="60"/>
      <c r="D90" s="60"/>
      <c r="E90" s="60"/>
      <c r="F90" s="439">
        <f>F89*F87</f>
        <v>2.7133333333333338</v>
      </c>
      <c r="H90" s="1" t="s">
        <v>1101</v>
      </c>
      <c r="I90" s="1" t="s">
        <v>2978</v>
      </c>
    </row>
    <row r="92" spans="1:9" x14ac:dyDescent="0.2">
      <c r="H92" s="1" t="s">
        <v>1102</v>
      </c>
    </row>
    <row r="94" spans="1:9" x14ac:dyDescent="0.2">
      <c r="A94" s="1" t="s">
        <v>1103</v>
      </c>
    </row>
    <row r="96" spans="1:9" x14ac:dyDescent="0.2">
      <c r="A96" s="1" t="s">
        <v>1104</v>
      </c>
    </row>
    <row r="97" spans="1:8" x14ac:dyDescent="0.2">
      <c r="A97" s="1" t="s">
        <v>1105</v>
      </c>
    </row>
    <row r="98" spans="1:8" x14ac:dyDescent="0.2">
      <c r="A98" s="1" t="s">
        <v>1106</v>
      </c>
    </row>
    <row r="99" spans="1:8" ht="17" thickBot="1" x14ac:dyDescent="0.25"/>
    <row r="100" spans="1:8" x14ac:dyDescent="0.2">
      <c r="A100" s="57" t="s">
        <v>3620</v>
      </c>
      <c r="B100" s="17"/>
      <c r="C100" s="17"/>
      <c r="D100" s="17"/>
      <c r="E100" s="17"/>
      <c r="F100" s="18"/>
    </row>
    <row r="101" spans="1:8" x14ac:dyDescent="0.2">
      <c r="A101" s="19"/>
      <c r="B101" s="1" t="s">
        <v>3621</v>
      </c>
      <c r="F101" s="20"/>
    </row>
    <row r="102" spans="1:8" ht="17" thickBot="1" x14ac:dyDescent="0.25">
      <c r="A102" s="21"/>
      <c r="B102" s="22" t="s">
        <v>3622</v>
      </c>
      <c r="C102" s="22"/>
      <c r="D102" s="22"/>
      <c r="E102" s="22"/>
      <c r="F102" s="23"/>
    </row>
    <row r="104" spans="1:8" x14ac:dyDescent="0.2">
      <c r="A104" s="153" t="s">
        <v>1107</v>
      </c>
      <c r="B104" s="153"/>
      <c r="C104" s="153"/>
      <c r="D104" s="153"/>
      <c r="E104" s="153"/>
      <c r="F104" s="153"/>
      <c r="G104" s="153"/>
      <c r="H104" s="153"/>
    </row>
    <row r="105" spans="1:8" x14ac:dyDescent="0.2">
      <c r="A105" s="1" t="s">
        <v>1108</v>
      </c>
    </row>
    <row r="106" spans="1:8" x14ac:dyDescent="0.2">
      <c r="A106" s="1" t="s">
        <v>1109</v>
      </c>
    </row>
    <row r="108" spans="1:8" x14ac:dyDescent="0.2">
      <c r="A108" s="25" t="s">
        <v>919</v>
      </c>
      <c r="B108" s="25"/>
      <c r="C108" s="25">
        <v>2017</v>
      </c>
      <c r="D108" s="25">
        <v>2018</v>
      </c>
      <c r="E108" s="25">
        <v>2019</v>
      </c>
      <c r="F108" s="25">
        <v>2020</v>
      </c>
      <c r="G108" s="25">
        <v>2021</v>
      </c>
      <c r="H108" s="25">
        <v>2022</v>
      </c>
    </row>
    <row r="109" spans="1:8" x14ac:dyDescent="0.2">
      <c r="A109" s="1" t="s">
        <v>1110</v>
      </c>
      <c r="C109" s="1">
        <v>100</v>
      </c>
      <c r="D109" s="1">
        <v>110</v>
      </c>
      <c r="E109" s="1">
        <v>115</v>
      </c>
      <c r="F109" s="1">
        <v>130</v>
      </c>
      <c r="G109" s="1">
        <v>140</v>
      </c>
      <c r="H109" s="1">
        <v>150</v>
      </c>
    </row>
    <row r="111" spans="1:8" x14ac:dyDescent="0.2">
      <c r="A111" s="1" t="s">
        <v>1111</v>
      </c>
    </row>
    <row r="113" spans="1:1" x14ac:dyDescent="0.2">
      <c r="A113" s="1" t="s">
        <v>282</v>
      </c>
    </row>
    <row r="114" spans="1:1" x14ac:dyDescent="0.2">
      <c r="A114" s="1" t="s">
        <v>1112</v>
      </c>
    </row>
    <row r="115" spans="1:1" x14ac:dyDescent="0.2">
      <c r="A115" s="1" t="s">
        <v>1113</v>
      </c>
    </row>
    <row r="116" spans="1:1" x14ac:dyDescent="0.2">
      <c r="A116" s="1" t="s">
        <v>1114</v>
      </c>
    </row>
    <row r="117" spans="1:1" x14ac:dyDescent="0.2">
      <c r="A117" s="1" t="s">
        <v>1115</v>
      </c>
    </row>
    <row r="119" spans="1:1" x14ac:dyDescent="0.2">
      <c r="A119" s="4" t="s">
        <v>198</v>
      </c>
    </row>
    <row r="121" spans="1:1" x14ac:dyDescent="0.2">
      <c r="A121" s="4" t="s">
        <v>1116</v>
      </c>
    </row>
    <row r="122" spans="1:1" x14ac:dyDescent="0.2">
      <c r="A122" s="1" t="s">
        <v>1117</v>
      </c>
    </row>
    <row r="123" spans="1:1" x14ac:dyDescent="0.2">
      <c r="A123" s="1" t="s">
        <v>1118</v>
      </c>
    </row>
    <row r="124" spans="1:1" x14ac:dyDescent="0.2">
      <c r="A124" s="1" t="s">
        <v>1119</v>
      </c>
    </row>
    <row r="125" spans="1:1" x14ac:dyDescent="0.2">
      <c r="A125" s="1" t="s">
        <v>1120</v>
      </c>
    </row>
    <row r="126" spans="1:1" x14ac:dyDescent="0.2">
      <c r="A126" s="1" t="s">
        <v>1121</v>
      </c>
    </row>
    <row r="128" spans="1:1" x14ac:dyDescent="0.2">
      <c r="A128" s="4" t="s">
        <v>1122</v>
      </c>
    </row>
    <row r="130" spans="1:10" x14ac:dyDescent="0.2">
      <c r="A130" s="1" t="s">
        <v>2979</v>
      </c>
    </row>
    <row r="131" spans="1:10" x14ac:dyDescent="0.2">
      <c r="A131" s="1" t="s">
        <v>1123</v>
      </c>
    </row>
    <row r="133" spans="1:10" x14ac:dyDescent="0.2">
      <c r="A133" s="1" t="s">
        <v>1124</v>
      </c>
    </row>
    <row r="134" spans="1:10" x14ac:dyDescent="0.2">
      <c r="A134" s="1" t="s">
        <v>1125</v>
      </c>
    </row>
    <row r="135" spans="1:10" x14ac:dyDescent="0.2">
      <c r="A135" s="1" t="s">
        <v>1126</v>
      </c>
    </row>
    <row r="136" spans="1:10" x14ac:dyDescent="0.2">
      <c r="A136" s="1" t="s">
        <v>1127</v>
      </c>
    </row>
    <row r="137" spans="1:10" x14ac:dyDescent="0.2">
      <c r="A137" s="1" t="s">
        <v>1128</v>
      </c>
    </row>
    <row r="138" spans="1:10" x14ac:dyDescent="0.2">
      <c r="A138" s="1" t="s">
        <v>1129</v>
      </c>
    </row>
    <row r="139" spans="1:10" x14ac:dyDescent="0.2">
      <c r="A139" s="1" t="s">
        <v>1130</v>
      </c>
    </row>
    <row r="140" spans="1:10" x14ac:dyDescent="0.2">
      <c r="A140" s="1" t="s">
        <v>1131</v>
      </c>
    </row>
    <row r="141" spans="1:10" ht="17" thickBot="1" x14ac:dyDescent="0.25"/>
    <row r="142" spans="1:10" x14ac:dyDescent="0.2">
      <c r="A142" s="1" t="s">
        <v>919</v>
      </c>
      <c r="C142" s="1">
        <v>2017</v>
      </c>
      <c r="D142" s="1">
        <v>2018</v>
      </c>
      <c r="E142" s="1">
        <v>2019</v>
      </c>
      <c r="F142" s="1">
        <v>2020</v>
      </c>
      <c r="G142" s="1">
        <v>2021</v>
      </c>
      <c r="H142" s="1">
        <v>2022</v>
      </c>
      <c r="I142" s="16">
        <v>2023</v>
      </c>
      <c r="J142" s="18"/>
    </row>
    <row r="143" spans="1:10" x14ac:dyDescent="0.2">
      <c r="A143" s="1" t="s">
        <v>2980</v>
      </c>
      <c r="C143" s="15">
        <v>100</v>
      </c>
      <c r="D143" s="1">
        <v>110</v>
      </c>
      <c r="E143" s="1">
        <v>115</v>
      </c>
      <c r="F143" s="1">
        <v>130</v>
      </c>
      <c r="G143" s="1">
        <v>140</v>
      </c>
      <c r="H143" s="15">
        <v>150</v>
      </c>
      <c r="I143" s="524">
        <f>H143*(1+F147)</f>
        <v>162.67076567965478</v>
      </c>
      <c r="J143" s="20" t="s">
        <v>559</v>
      </c>
    </row>
    <row r="144" spans="1:10" ht="17" thickBot="1" x14ac:dyDescent="0.25">
      <c r="I144" s="525">
        <f>I143*80%</f>
        <v>130.13661254372383</v>
      </c>
      <c r="J144" s="23" t="s">
        <v>582</v>
      </c>
    </row>
    <row r="146" spans="1:9" x14ac:dyDescent="0.2">
      <c r="A146" s="1" t="s">
        <v>1132</v>
      </c>
      <c r="F146" s="116">
        <f>150/100-1</f>
        <v>0.5</v>
      </c>
      <c r="H146" s="1" t="s">
        <v>1133</v>
      </c>
    </row>
    <row r="147" spans="1:9" x14ac:dyDescent="0.2">
      <c r="A147" s="1" t="s">
        <v>1134</v>
      </c>
      <c r="F147" s="441">
        <f>(1+F146)^(1/5)-1</f>
        <v>8.4471771197698553E-2</v>
      </c>
      <c r="H147" s="1" t="s">
        <v>1135</v>
      </c>
    </row>
    <row r="148" spans="1:9" x14ac:dyDescent="0.2">
      <c r="A148" s="1" t="s">
        <v>2987</v>
      </c>
      <c r="F148" s="440">
        <f>H143*(1+F147)</f>
        <v>162.67076567965478</v>
      </c>
      <c r="H148" s="1" t="s">
        <v>1136</v>
      </c>
    </row>
    <row r="149" spans="1:9" ht="17" thickBot="1" x14ac:dyDescent="0.25">
      <c r="A149" s="1" t="s">
        <v>1137</v>
      </c>
      <c r="F149" s="122">
        <f>F148*0.8</f>
        <v>130.13661254372383</v>
      </c>
      <c r="H149" s="1" t="s">
        <v>2981</v>
      </c>
    </row>
    <row r="150" spans="1:9" ht="17" thickBot="1" x14ac:dyDescent="0.25">
      <c r="A150" s="1" t="s">
        <v>1138</v>
      </c>
      <c r="E150" s="1" t="s">
        <v>579</v>
      </c>
      <c r="F150" s="442">
        <f>F149/(15%-F147)</f>
        <v>1985.9626137057019</v>
      </c>
      <c r="H150" s="1" t="s">
        <v>2982</v>
      </c>
    </row>
    <row r="151" spans="1:9" x14ac:dyDescent="0.2">
      <c r="F151" s="122" t="s">
        <v>1139</v>
      </c>
    </row>
    <row r="152" spans="1:9" ht="17" thickBot="1" x14ac:dyDescent="0.25">
      <c r="F152" s="122"/>
    </row>
    <row r="153" spans="1:9" x14ac:dyDescent="0.2">
      <c r="A153" s="57" t="s">
        <v>3623</v>
      </c>
      <c r="B153" s="17"/>
      <c r="C153" s="17"/>
      <c r="D153" s="17"/>
      <c r="E153" s="17"/>
      <c r="F153" s="526"/>
      <c r="G153" s="17"/>
      <c r="H153" s="17"/>
      <c r="I153" s="18"/>
    </row>
    <row r="154" spans="1:9" x14ac:dyDescent="0.2">
      <c r="A154" s="19" t="s">
        <v>3624</v>
      </c>
      <c r="F154" s="122"/>
      <c r="I154" s="20"/>
    </row>
    <row r="155" spans="1:9" x14ac:dyDescent="0.2">
      <c r="A155" s="19" t="s">
        <v>3625</v>
      </c>
      <c r="F155" s="122"/>
      <c r="I155" s="20"/>
    </row>
    <row r="156" spans="1:9" ht="17" thickBot="1" x14ac:dyDescent="0.25">
      <c r="A156" s="21" t="s">
        <v>3626</v>
      </c>
      <c r="B156" s="22"/>
      <c r="C156" s="22"/>
      <c r="D156" s="22"/>
      <c r="E156" s="22"/>
      <c r="F156" s="527"/>
      <c r="G156" s="22"/>
      <c r="H156" s="22"/>
      <c r="I156" s="23"/>
    </row>
    <row r="157" spans="1:9" x14ac:dyDescent="0.2">
      <c r="F157" s="122"/>
    </row>
    <row r="158" spans="1:9" x14ac:dyDescent="0.2">
      <c r="A158" s="4" t="s">
        <v>1140</v>
      </c>
      <c r="F158" s="122"/>
    </row>
    <row r="159" spans="1:9" x14ac:dyDescent="0.2">
      <c r="A159" s="1" t="s">
        <v>1113</v>
      </c>
      <c r="F159" s="122"/>
    </row>
    <row r="160" spans="1:9" x14ac:dyDescent="0.2">
      <c r="A160" s="1" t="s">
        <v>1114</v>
      </c>
      <c r="F160" s="122"/>
    </row>
    <row r="161" spans="1:8" x14ac:dyDescent="0.2">
      <c r="F161" s="122"/>
    </row>
    <row r="162" spans="1:8" x14ac:dyDescent="0.2">
      <c r="A162" s="25" t="s">
        <v>919</v>
      </c>
      <c r="B162" s="25"/>
      <c r="C162" s="39">
        <v>2017</v>
      </c>
      <c r="D162" s="39">
        <v>2018</v>
      </c>
      <c r="E162" s="39">
        <v>2019</v>
      </c>
      <c r="F162" s="39">
        <v>2020</v>
      </c>
      <c r="G162" s="39">
        <v>2021</v>
      </c>
      <c r="H162" s="39">
        <v>2022</v>
      </c>
    </row>
    <row r="163" spans="1:8" x14ac:dyDescent="0.2">
      <c r="A163" s="1" t="s">
        <v>1110</v>
      </c>
      <c r="C163" s="37">
        <v>100</v>
      </c>
      <c r="D163" s="37">
        <v>110</v>
      </c>
      <c r="E163" s="37">
        <v>115</v>
      </c>
      <c r="F163" s="37">
        <v>130</v>
      </c>
      <c r="G163" s="37">
        <v>140</v>
      </c>
      <c r="H163" s="37">
        <v>150</v>
      </c>
    </row>
    <row r="164" spans="1:8" x14ac:dyDescent="0.2">
      <c r="F164" s="122"/>
    </row>
    <row r="165" spans="1:8" x14ac:dyDescent="0.2">
      <c r="A165" s="1" t="s">
        <v>2983</v>
      </c>
      <c r="D165" s="1" t="s">
        <v>3627</v>
      </c>
      <c r="F165" s="122"/>
    </row>
    <row r="166" spans="1:8" x14ac:dyDescent="0.2">
      <c r="B166"/>
      <c r="F166" s="122"/>
    </row>
    <row r="167" spans="1:8" x14ac:dyDescent="0.2">
      <c r="B167"/>
      <c r="F167" s="122"/>
    </row>
    <row r="168" spans="1:8" x14ac:dyDescent="0.2">
      <c r="B168"/>
      <c r="F168" s="122"/>
    </row>
    <row r="169" spans="1:8" x14ac:dyDescent="0.2">
      <c r="B169"/>
      <c r="F169" s="122"/>
    </row>
    <row r="170" spans="1:8" x14ac:dyDescent="0.2">
      <c r="B170"/>
      <c r="F170" s="122"/>
    </row>
    <row r="171" spans="1:8" x14ac:dyDescent="0.2">
      <c r="A171" s="1" t="s">
        <v>1040</v>
      </c>
      <c r="E171" s="1" t="s">
        <v>1141</v>
      </c>
      <c r="F171" s="122"/>
    </row>
    <row r="172" spans="1:8" x14ac:dyDescent="0.2">
      <c r="F172" s="122"/>
    </row>
    <row r="173" spans="1:8" x14ac:dyDescent="0.2">
      <c r="A173" s="1" t="s">
        <v>3628</v>
      </c>
      <c r="E173" s="1" t="s">
        <v>1142</v>
      </c>
      <c r="F173" s="122"/>
    </row>
    <row r="174" spans="1:8" x14ac:dyDescent="0.2">
      <c r="A174" s="1" t="s">
        <v>3629</v>
      </c>
      <c r="F174" s="122"/>
    </row>
    <row r="175" spans="1:8" x14ac:dyDescent="0.2">
      <c r="F175" s="122"/>
    </row>
    <row r="176" spans="1:8" x14ac:dyDescent="0.2">
      <c r="B176" s="176">
        <f>F150-100/15%</f>
        <v>1319.2959470390351</v>
      </c>
      <c r="E176" s="1" t="s">
        <v>1143</v>
      </c>
      <c r="F176" s="122" t="s">
        <v>2984</v>
      </c>
    </row>
    <row r="177" spans="1:13" x14ac:dyDescent="0.2">
      <c r="B177" s="1" t="s">
        <v>1144</v>
      </c>
      <c r="F177" s="122"/>
    </row>
    <row r="178" spans="1:13" x14ac:dyDescent="0.2">
      <c r="F178" s="122"/>
    </row>
    <row r="179" spans="1:13" x14ac:dyDescent="0.2">
      <c r="A179" s="1" t="s">
        <v>1145</v>
      </c>
      <c r="F179" s="122"/>
    </row>
    <row r="180" spans="1:13" x14ac:dyDescent="0.2">
      <c r="A180" s="1" t="s">
        <v>1146</v>
      </c>
      <c r="F180" s="122"/>
    </row>
    <row r="181" spans="1:13" x14ac:dyDescent="0.2">
      <c r="A181" s="1" t="s">
        <v>1147</v>
      </c>
      <c r="F181" s="122"/>
    </row>
    <row r="182" spans="1:13" x14ac:dyDescent="0.2">
      <c r="A182" s="1" t="s">
        <v>1148</v>
      </c>
      <c r="F182" s="122"/>
    </row>
    <row r="183" spans="1:13" x14ac:dyDescent="0.2">
      <c r="F183" s="122"/>
    </row>
    <row r="184" spans="1:13" x14ac:dyDescent="0.2">
      <c r="A184" s="4" t="s">
        <v>1149</v>
      </c>
      <c r="F184" s="122"/>
    </row>
    <row r="185" spans="1:13" x14ac:dyDescent="0.2">
      <c r="C185" s="88">
        <f>B176/F150</f>
        <v>0.66431056553340562</v>
      </c>
      <c r="E185" s="1" t="s">
        <v>1150</v>
      </c>
      <c r="F185" s="122" t="s">
        <v>1151</v>
      </c>
    </row>
    <row r="186" spans="1:13" x14ac:dyDescent="0.2">
      <c r="F186" s="122"/>
    </row>
    <row r="187" spans="1:13" x14ac:dyDescent="0.2">
      <c r="A187" s="1" t="s">
        <v>2985</v>
      </c>
      <c r="F187" s="122"/>
    </row>
    <row r="188" spans="1:13" x14ac:dyDescent="0.2">
      <c r="A188" s="1" t="s">
        <v>2986</v>
      </c>
      <c r="F188" s="122"/>
    </row>
    <row r="189" spans="1:13" x14ac:dyDescent="0.2">
      <c r="F189" s="122"/>
    </row>
    <row r="190" spans="1:13" ht="17" thickBot="1" x14ac:dyDescent="0.25">
      <c r="A190" s="528" t="s">
        <v>3630</v>
      </c>
      <c r="B190" s="528"/>
      <c r="C190" s="528"/>
      <c r="D190" s="528"/>
      <c r="E190" s="528"/>
      <c r="F190" s="529"/>
      <c r="G190" s="528"/>
      <c r="H190" s="528"/>
    </row>
    <row r="191" spans="1:13" x14ac:dyDescent="0.2">
      <c r="A191" s="1" t="s">
        <v>3631</v>
      </c>
      <c r="F191" s="122"/>
      <c r="J191" s="57" t="s">
        <v>3476</v>
      </c>
      <c r="K191" s="125"/>
      <c r="L191" s="125"/>
      <c r="M191" s="248"/>
    </row>
    <row r="192" spans="1:13" x14ac:dyDescent="0.2">
      <c r="F192" s="122"/>
      <c r="J192" s="126" t="s">
        <v>3636</v>
      </c>
      <c r="K192" s="4"/>
      <c r="L192" s="4"/>
      <c r="M192" s="249"/>
    </row>
    <row r="193" spans="1:13" x14ac:dyDescent="0.2">
      <c r="B193" s="39" t="s">
        <v>919</v>
      </c>
      <c r="C193" s="39">
        <v>2019</v>
      </c>
      <c r="D193" s="39">
        <v>2020</v>
      </c>
      <c r="E193" s="39">
        <v>2021</v>
      </c>
      <c r="F193" s="531">
        <v>2022</v>
      </c>
      <c r="G193" s="39">
        <v>2023</v>
      </c>
      <c r="J193" s="126" t="s">
        <v>3637</v>
      </c>
      <c r="K193" s="4"/>
      <c r="L193" s="4"/>
      <c r="M193" s="249"/>
    </row>
    <row r="194" spans="1:13" x14ac:dyDescent="0.2">
      <c r="B194" s="37" t="s">
        <v>559</v>
      </c>
      <c r="C194" s="37">
        <v>130</v>
      </c>
      <c r="D194" s="37">
        <v>132</v>
      </c>
      <c r="E194" s="37">
        <v>140</v>
      </c>
      <c r="F194" s="530">
        <v>152</v>
      </c>
      <c r="G194" s="37">
        <v>173</v>
      </c>
      <c r="J194" s="126" t="s">
        <v>3638</v>
      </c>
      <c r="K194" s="4"/>
      <c r="L194" s="4"/>
      <c r="M194" s="249"/>
    </row>
    <row r="195" spans="1:13" x14ac:dyDescent="0.2">
      <c r="F195" s="122"/>
      <c r="J195" s="126" t="s">
        <v>3639</v>
      </c>
      <c r="K195" s="4"/>
      <c r="L195" s="4"/>
      <c r="M195" s="249"/>
    </row>
    <row r="196" spans="1:13" x14ac:dyDescent="0.2">
      <c r="A196" s="1" t="s">
        <v>3632</v>
      </c>
      <c r="F196" s="122"/>
      <c r="J196" s="126" t="s">
        <v>3641</v>
      </c>
      <c r="K196" s="4"/>
      <c r="L196" s="4"/>
      <c r="M196" s="249"/>
    </row>
    <row r="197" spans="1:13" x14ac:dyDescent="0.2">
      <c r="A197" s="1" t="s">
        <v>3633</v>
      </c>
      <c r="F197" s="122"/>
      <c r="J197" s="126" t="s">
        <v>3642</v>
      </c>
      <c r="K197" s="4"/>
      <c r="L197" s="4"/>
      <c r="M197" s="249"/>
    </row>
    <row r="198" spans="1:13" x14ac:dyDescent="0.2">
      <c r="A198" s="1" t="s">
        <v>3640</v>
      </c>
      <c r="F198" s="122"/>
      <c r="J198" s="126" t="s">
        <v>3643</v>
      </c>
      <c r="K198" s="4"/>
      <c r="L198" s="4"/>
      <c r="M198" s="249"/>
    </row>
    <row r="199" spans="1:13" x14ac:dyDescent="0.2">
      <c r="F199" s="122"/>
      <c r="J199" s="126" t="s">
        <v>3644</v>
      </c>
      <c r="K199" s="4"/>
      <c r="L199" s="4"/>
      <c r="M199" s="249"/>
    </row>
    <row r="200" spans="1:13" x14ac:dyDescent="0.2">
      <c r="A200" s="1" t="s">
        <v>3634</v>
      </c>
      <c r="F200" s="122"/>
      <c r="J200" s="126" t="s">
        <v>3645</v>
      </c>
      <c r="K200" s="4"/>
      <c r="L200" s="4"/>
      <c r="M200" s="249"/>
    </row>
    <row r="201" spans="1:13" ht="17" thickBot="1" x14ac:dyDescent="0.25">
      <c r="A201" s="1" t="s">
        <v>3635</v>
      </c>
      <c r="F201" s="122"/>
      <c r="J201" s="127" t="s">
        <v>3646</v>
      </c>
      <c r="K201" s="128"/>
      <c r="L201" s="128"/>
      <c r="M201" s="250"/>
    </row>
    <row r="202" spans="1:13" x14ac:dyDescent="0.2">
      <c r="F202" s="122"/>
    </row>
    <row r="203" spans="1:13" x14ac:dyDescent="0.2">
      <c r="A203" s="1" t="s">
        <v>3647</v>
      </c>
      <c r="D203" s="532">
        <f>173/130-1</f>
        <v>0.3307692307692307</v>
      </c>
      <c r="F203" s="122"/>
    </row>
    <row r="204" spans="1:13" x14ac:dyDescent="0.2">
      <c r="F204" s="122"/>
    </row>
    <row r="205" spans="1:13" x14ac:dyDescent="0.2">
      <c r="A205" s="1" t="s">
        <v>3648</v>
      </c>
      <c r="D205" s="532">
        <f>(1+D203)^0.25-1</f>
        <v>7.4052938682904079E-2</v>
      </c>
      <c r="F205" s="122"/>
    </row>
    <row r="206" spans="1:13" x14ac:dyDescent="0.2">
      <c r="F206" s="122"/>
    </row>
    <row r="207" spans="1:13" x14ac:dyDescent="0.2">
      <c r="A207" s="1" t="s">
        <v>3649</v>
      </c>
      <c r="D207" s="503">
        <f>173*(1+D205)*60%</f>
        <v>111.48669503528544</v>
      </c>
      <c r="F207" s="122"/>
      <c r="J207" s="1" t="s">
        <v>3653</v>
      </c>
    </row>
    <row r="208" spans="1:13" x14ac:dyDescent="0.2">
      <c r="F208" s="122"/>
      <c r="J208" s="1" t="s">
        <v>3654</v>
      </c>
    </row>
    <row r="209" spans="1:8" x14ac:dyDescent="0.2">
      <c r="F209" s="122"/>
    </row>
    <row r="210" spans="1:8" x14ac:dyDescent="0.2">
      <c r="A210" s="1" t="s">
        <v>3650</v>
      </c>
      <c r="D210" s="503">
        <f>D207/(20%-D205)</f>
        <v>885.18694973435117</v>
      </c>
      <c r="F210" s="122"/>
    </row>
    <row r="211" spans="1:8" x14ac:dyDescent="0.2">
      <c r="F211" s="122"/>
    </row>
    <row r="212" spans="1:8" x14ac:dyDescent="0.2">
      <c r="A212" s="1" t="s">
        <v>3651</v>
      </c>
      <c r="F212" s="122"/>
    </row>
    <row r="213" spans="1:8" x14ac:dyDescent="0.2">
      <c r="D213" s="37">
        <f>173/20%</f>
        <v>865</v>
      </c>
      <c r="F213" s="122"/>
    </row>
    <row r="214" spans="1:8" x14ac:dyDescent="0.2">
      <c r="A214" s="1" t="s">
        <v>3652</v>
      </c>
      <c r="F214" s="122"/>
    </row>
    <row r="215" spans="1:8" x14ac:dyDescent="0.2">
      <c r="D215" s="503">
        <f>D210-D213</f>
        <v>20.186949734351174</v>
      </c>
      <c r="F215" s="122"/>
    </row>
    <row r="216" spans="1:8" x14ac:dyDescent="0.2">
      <c r="F216" s="122"/>
    </row>
    <row r="217" spans="1:8" x14ac:dyDescent="0.2">
      <c r="F217" s="122"/>
    </row>
    <row r="218" spans="1:8" x14ac:dyDescent="0.2">
      <c r="A218" s="153" t="s">
        <v>1152</v>
      </c>
      <c r="B218" s="153"/>
      <c r="C218" s="153"/>
      <c r="D218" s="153"/>
      <c r="E218" s="153"/>
      <c r="F218" s="153"/>
      <c r="G218" s="153"/>
      <c r="H218" s="153"/>
    </row>
    <row r="219" spans="1:8" x14ac:dyDescent="0.2">
      <c r="A219" s="1" t="s">
        <v>1153</v>
      </c>
    </row>
    <row r="220" spans="1:8" x14ac:dyDescent="0.2">
      <c r="A220" s="1" t="s">
        <v>1154</v>
      </c>
    </row>
    <row r="222" spans="1:8" x14ac:dyDescent="0.2">
      <c r="A222" s="4" t="s">
        <v>198</v>
      </c>
    </row>
    <row r="223" spans="1:8" x14ac:dyDescent="0.2">
      <c r="A223" s="4"/>
    </row>
    <row r="224" spans="1:8" x14ac:dyDescent="0.2">
      <c r="A224" s="1" t="s">
        <v>1155</v>
      </c>
    </row>
    <row r="225" spans="1:8" x14ac:dyDescent="0.2">
      <c r="A225" s="1" t="s">
        <v>1156</v>
      </c>
    </row>
    <row r="226" spans="1:8" x14ac:dyDescent="0.2">
      <c r="A226" s="1" t="s">
        <v>1157</v>
      </c>
    </row>
    <row r="228" spans="1:8" x14ac:dyDescent="0.2">
      <c r="A228" s="153" t="s">
        <v>1158</v>
      </c>
      <c r="B228" s="152"/>
      <c r="C228" s="152"/>
      <c r="D228" s="152"/>
      <c r="E228" s="152"/>
      <c r="F228" s="152"/>
      <c r="G228" s="152"/>
      <c r="H228" s="152"/>
    </row>
    <row r="229" spans="1:8" x14ac:dyDescent="0.2">
      <c r="A229" s="1" t="s">
        <v>1159</v>
      </c>
    </row>
    <row r="230" spans="1:8" x14ac:dyDescent="0.2">
      <c r="A230" s="1" t="s">
        <v>1160</v>
      </c>
    </row>
    <row r="232" spans="1:8" x14ac:dyDescent="0.2">
      <c r="A232" s="4" t="s">
        <v>198</v>
      </c>
    </row>
    <row r="234" spans="1:8" x14ac:dyDescent="0.2">
      <c r="A234" s="1" t="s">
        <v>1161</v>
      </c>
      <c r="E234" s="1" t="s">
        <v>579</v>
      </c>
    </row>
    <row r="235" spans="1:8" x14ac:dyDescent="0.2">
      <c r="C235" s="2">
        <f>20/0.08</f>
        <v>250</v>
      </c>
      <c r="E235" s="1" t="s">
        <v>1162</v>
      </c>
    </row>
    <row r="237" spans="1:8" x14ac:dyDescent="0.2">
      <c r="A237" s="37" t="s">
        <v>896</v>
      </c>
      <c r="B237" s="1" t="s">
        <v>1163</v>
      </c>
    </row>
    <row r="238" spans="1:8" x14ac:dyDescent="0.2">
      <c r="B238" s="1" t="s">
        <v>1164</v>
      </c>
    </row>
    <row r="239" spans="1:8" x14ac:dyDescent="0.2">
      <c r="B239" s="1" t="s">
        <v>1165</v>
      </c>
    </row>
    <row r="240" spans="1:8" x14ac:dyDescent="0.2">
      <c r="B240" s="1" t="s">
        <v>1166</v>
      </c>
    </row>
    <row r="243" spans="1:8" x14ac:dyDescent="0.2">
      <c r="A243" s="153" t="s">
        <v>1167</v>
      </c>
      <c r="B243" s="153"/>
      <c r="C243" s="153"/>
      <c r="D243" s="153"/>
      <c r="E243" s="153"/>
      <c r="F243" s="153"/>
      <c r="G243" s="153"/>
      <c r="H243" s="153"/>
    </row>
    <row r="244" spans="1:8" x14ac:dyDescent="0.2">
      <c r="A244" s="1" t="s">
        <v>1168</v>
      </c>
    </row>
    <row r="245" spans="1:8" x14ac:dyDescent="0.2">
      <c r="A245" s="1" t="s">
        <v>1169</v>
      </c>
    </row>
    <row r="247" spans="1:8" x14ac:dyDescent="0.2">
      <c r="A247" s="4" t="s">
        <v>198</v>
      </c>
    </row>
    <row r="249" spans="1:8" x14ac:dyDescent="0.2">
      <c r="A249" s="1" t="s">
        <v>1170</v>
      </c>
    </row>
    <row r="250" spans="1:8" x14ac:dyDescent="0.2">
      <c r="A250" s="1" t="s">
        <v>1171</v>
      </c>
    </row>
    <row r="252" spans="1:8" x14ac:dyDescent="0.2">
      <c r="A252" s="1" t="s">
        <v>1172</v>
      </c>
    </row>
    <row r="253" spans="1:8" ht="17" thickBot="1" x14ac:dyDescent="0.25"/>
    <row r="254" spans="1:8" x14ac:dyDescent="0.2">
      <c r="A254" s="102" t="s">
        <v>1173</v>
      </c>
      <c r="B254" s="17"/>
      <c r="C254" s="17"/>
      <c r="D254" s="17"/>
      <c r="E254" s="17"/>
      <c r="F254" s="17"/>
      <c r="G254" s="17"/>
      <c r="H254" s="18"/>
    </row>
    <row r="255" spans="1:8" ht="17" thickBot="1" x14ac:dyDescent="0.25">
      <c r="A255" s="104" t="s">
        <v>1174</v>
      </c>
      <c r="B255" s="22"/>
      <c r="C255" s="22"/>
      <c r="D255" s="22"/>
      <c r="E255" s="22"/>
      <c r="F255" s="22"/>
      <c r="G255" s="22"/>
      <c r="H255" s="23"/>
    </row>
    <row r="257" spans="1:8" x14ac:dyDescent="0.2">
      <c r="A257" s="1" t="s">
        <v>1175</v>
      </c>
    </row>
    <row r="258" spans="1:8" x14ac:dyDescent="0.2">
      <c r="A258" s="1" t="s">
        <v>1176</v>
      </c>
    </row>
    <row r="259" spans="1:8" x14ac:dyDescent="0.2">
      <c r="A259" s="1" t="s">
        <v>1177</v>
      </c>
    </row>
    <row r="261" spans="1:8" x14ac:dyDescent="0.2">
      <c r="A261" s="153" t="s">
        <v>1178</v>
      </c>
      <c r="B261" s="153"/>
      <c r="C261" s="153"/>
      <c r="D261" s="153"/>
      <c r="E261" s="153"/>
      <c r="F261" s="153"/>
      <c r="G261" s="153"/>
      <c r="H261" s="153"/>
    </row>
    <row r="262" spans="1:8" x14ac:dyDescent="0.2">
      <c r="A262" s="1" t="s">
        <v>1179</v>
      </c>
    </row>
    <row r="263" spans="1:8" x14ac:dyDescent="0.2">
      <c r="A263" s="1" t="s">
        <v>1180</v>
      </c>
    </row>
    <row r="264" spans="1:8" x14ac:dyDescent="0.2">
      <c r="A264" s="1" t="s">
        <v>1181</v>
      </c>
    </row>
    <row r="265" spans="1:8" x14ac:dyDescent="0.2">
      <c r="A265" s="1" t="s">
        <v>1182</v>
      </c>
    </row>
    <row r="267" spans="1:8" x14ac:dyDescent="0.2">
      <c r="A267" s="4" t="s">
        <v>198</v>
      </c>
    </row>
    <row r="269" spans="1:8" hidden="1" x14ac:dyDescent="0.2">
      <c r="A269" s="1" t="s">
        <v>1183</v>
      </c>
    </row>
    <row r="270" spans="1:8" hidden="1" x14ac:dyDescent="0.2">
      <c r="A270" s="1" t="s">
        <v>1184</v>
      </c>
    </row>
    <row r="271" spans="1:8" hidden="1" x14ac:dyDescent="0.2">
      <c r="A271" s="1" t="s">
        <v>1185</v>
      </c>
    </row>
    <row r="272" spans="1:8" hidden="1" x14ac:dyDescent="0.2">
      <c r="A272" s="1" t="s">
        <v>1186</v>
      </c>
    </row>
    <row r="273" spans="1:4" hidden="1" x14ac:dyDescent="0.2">
      <c r="A273" s="1" t="s">
        <v>1187</v>
      </c>
    </row>
    <row r="274" spans="1:4" hidden="1" x14ac:dyDescent="0.2">
      <c r="A274" s="1" t="s">
        <v>1188</v>
      </c>
    </row>
    <row r="275" spans="1:4" hidden="1" x14ac:dyDescent="0.2">
      <c r="A275" s="1" t="s">
        <v>1189</v>
      </c>
    </row>
    <row r="277" spans="1:4" x14ac:dyDescent="0.2">
      <c r="C277" s="7" t="s">
        <v>1190</v>
      </c>
      <c r="D277" s="8"/>
    </row>
    <row r="278" spans="1:4" x14ac:dyDescent="0.2">
      <c r="C278" s="8" t="s">
        <v>1191</v>
      </c>
      <c r="D278" s="8"/>
    </row>
    <row r="279" spans="1:4" x14ac:dyDescent="0.2">
      <c r="C279" s="8" t="s">
        <v>1192</v>
      </c>
      <c r="D279" s="8"/>
    </row>
    <row r="280" spans="1:4" x14ac:dyDescent="0.2">
      <c r="A280" s="1" t="s">
        <v>919</v>
      </c>
      <c r="B280" s="1" t="s">
        <v>936</v>
      </c>
      <c r="C280" s="8" t="s">
        <v>1193</v>
      </c>
      <c r="D280" s="8" t="s">
        <v>285</v>
      </c>
    </row>
    <row r="281" spans="1:4" x14ac:dyDescent="0.2">
      <c r="A281" s="1">
        <v>2023</v>
      </c>
      <c r="B281" s="8">
        <v>10</v>
      </c>
      <c r="C281" s="8"/>
      <c r="D281" s="8">
        <f>B281+C281</f>
        <v>10</v>
      </c>
    </row>
    <row r="282" spans="1:4" x14ac:dyDescent="0.2">
      <c r="A282" s="1">
        <v>2024</v>
      </c>
      <c r="B282" s="8">
        <f>B281*1.4</f>
        <v>14</v>
      </c>
      <c r="C282" s="8"/>
      <c r="D282" s="8">
        <f>B282+C282</f>
        <v>14</v>
      </c>
    </row>
    <row r="283" spans="1:4" x14ac:dyDescent="0.2">
      <c r="A283" s="1">
        <v>2025</v>
      </c>
      <c r="B283" s="8">
        <f>B282*1.4</f>
        <v>19.599999999999998</v>
      </c>
      <c r="C283" s="8"/>
      <c r="D283" s="8">
        <f>B283+C283</f>
        <v>19.599999999999998</v>
      </c>
    </row>
    <row r="284" spans="1:4" x14ac:dyDescent="0.2">
      <c r="A284" s="1">
        <v>2026</v>
      </c>
      <c r="B284" s="8">
        <f>B283*1.4</f>
        <v>27.439999999999994</v>
      </c>
      <c r="C284" s="8"/>
      <c r="D284" s="8">
        <f>B284+C284</f>
        <v>27.439999999999994</v>
      </c>
    </row>
    <row r="285" spans="1:4" ht="17" thickBot="1" x14ac:dyDescent="0.25">
      <c r="A285" s="1">
        <v>2027</v>
      </c>
      <c r="B285" s="8">
        <f>B284*1.4</f>
        <v>38.41599999999999</v>
      </c>
      <c r="C285" s="444">
        <f>B286/(20%-5%)</f>
        <v>358.54933333333315</v>
      </c>
      <c r="D285" s="8">
        <f>B285+C285</f>
        <v>396.96533333333315</v>
      </c>
    </row>
    <row r="286" spans="1:4" ht="17" thickBot="1" x14ac:dyDescent="0.25">
      <c r="A286" s="177">
        <v>2028</v>
      </c>
      <c r="B286" s="443">
        <f>B285*1.4</f>
        <v>53.782399999999981</v>
      </c>
      <c r="C286" s="60"/>
      <c r="D286" s="60"/>
    </row>
    <row r="292" spans="1:8" x14ac:dyDescent="0.2">
      <c r="A292" s="1" t="s">
        <v>1194</v>
      </c>
      <c r="D292" s="10">
        <f>NPV(20%,D281:D285)</f>
        <v>202.1626371742112</v>
      </c>
    </row>
    <row r="295" spans="1:8" x14ac:dyDescent="0.2">
      <c r="A295" s="153" t="s">
        <v>1195</v>
      </c>
      <c r="B295" s="152"/>
      <c r="C295" s="152"/>
      <c r="D295" s="152"/>
      <c r="E295" s="152"/>
      <c r="F295" s="152"/>
      <c r="G295" s="152"/>
      <c r="H295" s="152"/>
    </row>
    <row r="305" spans="1:2" x14ac:dyDescent="0.2">
      <c r="A305" s="1" t="s">
        <v>1196</v>
      </c>
    </row>
    <row r="306" spans="1:2" x14ac:dyDescent="0.2">
      <c r="A306" s="1" t="s">
        <v>1197</v>
      </c>
    </row>
    <row r="307" spans="1:2" x14ac:dyDescent="0.2">
      <c r="A307" s="1" t="s">
        <v>1198</v>
      </c>
    </row>
    <row r="308" spans="1:2" x14ac:dyDescent="0.2">
      <c r="A308" s="1" t="s">
        <v>1199</v>
      </c>
    </row>
    <row r="310" spans="1:2" x14ac:dyDescent="0.2">
      <c r="A310" s="4" t="s">
        <v>198</v>
      </c>
    </row>
    <row r="312" spans="1:2" x14ac:dyDescent="0.2">
      <c r="A312" s="1" t="s">
        <v>2993</v>
      </c>
    </row>
    <row r="313" spans="1:2" x14ac:dyDescent="0.2">
      <c r="A313" s="1" t="s">
        <v>2994</v>
      </c>
    </row>
    <row r="314" spans="1:2" x14ac:dyDescent="0.2">
      <c r="A314" s="1" t="s">
        <v>2995</v>
      </c>
    </row>
    <row r="316" spans="1:2" x14ac:dyDescent="0.2">
      <c r="A316" s="1" t="s">
        <v>2996</v>
      </c>
    </row>
    <row r="319" spans="1:2" x14ac:dyDescent="0.2">
      <c r="A319" s="1" t="s">
        <v>2997</v>
      </c>
    </row>
    <row r="320" spans="1:2" x14ac:dyDescent="0.2">
      <c r="A320" s="37" t="s">
        <v>554</v>
      </c>
      <c r="B320" s="1" t="s">
        <v>2998</v>
      </c>
    </row>
    <row r="321" spans="1:8" x14ac:dyDescent="0.2">
      <c r="A321" s="37"/>
      <c r="B321" s="1" t="s">
        <v>2999</v>
      </c>
    </row>
    <row r="322" spans="1:8" x14ac:dyDescent="0.2">
      <c r="A322" s="37"/>
      <c r="B322" s="1" t="s">
        <v>3000</v>
      </c>
    </row>
    <row r="323" spans="1:8" x14ac:dyDescent="0.2">
      <c r="A323" s="37" t="s">
        <v>552</v>
      </c>
      <c r="B323" s="1" t="s">
        <v>3001</v>
      </c>
    </row>
    <row r="324" spans="1:8" x14ac:dyDescent="0.2">
      <c r="A324" s="37"/>
      <c r="B324" s="1" t="s">
        <v>3002</v>
      </c>
    </row>
    <row r="325" spans="1:8" x14ac:dyDescent="0.2">
      <c r="A325" s="37" t="s">
        <v>550</v>
      </c>
      <c r="B325" s="1" t="s">
        <v>3003</v>
      </c>
    </row>
    <row r="326" spans="1:8" x14ac:dyDescent="0.2">
      <c r="B326" s="1" t="s">
        <v>3004</v>
      </c>
    </row>
    <row r="327" spans="1:8" x14ac:dyDescent="0.2">
      <c r="B327" s="1" t="s">
        <v>3005</v>
      </c>
    </row>
    <row r="329" spans="1:8" x14ac:dyDescent="0.2">
      <c r="A329" s="153" t="s">
        <v>1200</v>
      </c>
      <c r="B329" s="152"/>
      <c r="C329" s="152"/>
      <c r="D329" s="152"/>
      <c r="E329" s="152"/>
      <c r="F329" s="152"/>
      <c r="G329" s="152"/>
      <c r="H329" s="152"/>
    </row>
    <row r="330" spans="1:8" x14ac:dyDescent="0.2">
      <c r="A330" s="1" t="s">
        <v>1201</v>
      </c>
    </row>
    <row r="331" spans="1:8" x14ac:dyDescent="0.2">
      <c r="E331" s="37" t="s">
        <v>936</v>
      </c>
      <c r="F331" s="37" t="s">
        <v>3006</v>
      </c>
      <c r="G331" s="37"/>
    </row>
    <row r="332" spans="1:8" x14ac:dyDescent="0.2">
      <c r="E332" s="37" t="s">
        <v>3008</v>
      </c>
      <c r="F332" s="37" t="s">
        <v>3007</v>
      </c>
      <c r="G332" s="37" t="s">
        <v>12</v>
      </c>
    </row>
    <row r="333" spans="1:8" ht="34" x14ac:dyDescent="0.2">
      <c r="E333" s="533" t="s">
        <v>3655</v>
      </c>
      <c r="F333" s="37" t="s">
        <v>1202</v>
      </c>
      <c r="G333" s="37" t="s">
        <v>1203</v>
      </c>
    </row>
    <row r="334" spans="1:8" x14ac:dyDescent="0.2">
      <c r="F334" s="37">
        <v>0.91</v>
      </c>
      <c r="G334" s="24">
        <v>42825</v>
      </c>
    </row>
    <row r="335" spans="1:8" x14ac:dyDescent="0.2">
      <c r="F335" s="37">
        <v>0.48</v>
      </c>
      <c r="G335" s="24">
        <v>42916</v>
      </c>
    </row>
    <row r="336" spans="1:8" x14ac:dyDescent="0.2">
      <c r="F336" s="37">
        <v>0.03</v>
      </c>
      <c r="G336" s="24">
        <v>43008</v>
      </c>
    </row>
    <row r="337" spans="5:7" x14ac:dyDescent="0.2">
      <c r="E337" s="37">
        <f>SUM(F334:F337)</f>
        <v>2.41</v>
      </c>
      <c r="F337" s="37">
        <v>0.99</v>
      </c>
      <c r="G337" s="24">
        <v>43100</v>
      </c>
    </row>
    <row r="338" spans="5:7" x14ac:dyDescent="0.2">
      <c r="E338" s="37"/>
      <c r="F338" s="37">
        <v>0.14000000000000001</v>
      </c>
      <c r="G338" s="24">
        <v>43190</v>
      </c>
    </row>
    <row r="339" spans="5:7" x14ac:dyDescent="0.2">
      <c r="E339" s="37"/>
      <c r="F339" s="37">
        <v>7.0000000000000007E-2</v>
      </c>
      <c r="G339" s="24">
        <v>43281</v>
      </c>
    </row>
    <row r="340" spans="5:7" x14ac:dyDescent="0.2">
      <c r="E340" s="37"/>
      <c r="F340" s="37">
        <v>1.2</v>
      </c>
      <c r="G340" s="24">
        <v>43373</v>
      </c>
    </row>
    <row r="341" spans="5:7" x14ac:dyDescent="0.2">
      <c r="E341" s="37">
        <f>SUM(F338:F341)</f>
        <v>2.8099999999999996</v>
      </c>
      <c r="F341" s="37">
        <v>1.4</v>
      </c>
      <c r="G341" s="24">
        <v>43465</v>
      </c>
    </row>
    <row r="342" spans="5:7" x14ac:dyDescent="0.2">
      <c r="E342" s="37"/>
      <c r="F342" s="37">
        <v>0.94</v>
      </c>
      <c r="G342" s="24">
        <v>43555</v>
      </c>
    </row>
    <row r="343" spans="5:7" x14ac:dyDescent="0.2">
      <c r="E343" s="37"/>
      <c r="F343" s="37">
        <v>0.73</v>
      </c>
      <c r="G343" s="24">
        <v>43646</v>
      </c>
    </row>
    <row r="344" spans="5:7" x14ac:dyDescent="0.2">
      <c r="E344" s="37"/>
      <c r="F344" s="37">
        <v>1.8</v>
      </c>
      <c r="G344" s="24">
        <v>43738</v>
      </c>
    </row>
    <row r="345" spans="5:7" x14ac:dyDescent="0.2">
      <c r="E345" s="37">
        <f>SUM(F342:F345)</f>
        <v>3.59</v>
      </c>
      <c r="F345" s="37">
        <v>0.12</v>
      </c>
      <c r="G345" s="24">
        <v>43830</v>
      </c>
    </row>
    <row r="346" spans="5:7" x14ac:dyDescent="0.2">
      <c r="E346" s="37"/>
      <c r="F346" s="37">
        <v>0.8</v>
      </c>
      <c r="G346" s="24">
        <v>43921</v>
      </c>
    </row>
    <row r="347" spans="5:7" x14ac:dyDescent="0.2">
      <c r="E347" s="37"/>
      <c r="F347" s="37">
        <v>0.66</v>
      </c>
      <c r="G347" s="24">
        <v>44012</v>
      </c>
    </row>
    <row r="348" spans="5:7" x14ac:dyDescent="0.2">
      <c r="E348" s="37"/>
      <c r="F348" s="37">
        <v>1.9</v>
      </c>
      <c r="G348" s="24">
        <v>44104</v>
      </c>
    </row>
    <row r="349" spans="5:7" x14ac:dyDescent="0.2">
      <c r="E349" s="37">
        <f>SUM(F346:F349)</f>
        <v>4.34</v>
      </c>
      <c r="F349" s="37">
        <v>0.98</v>
      </c>
      <c r="G349" s="24">
        <v>44196</v>
      </c>
    </row>
    <row r="350" spans="5:7" x14ac:dyDescent="0.2">
      <c r="E350" s="37"/>
      <c r="F350" s="37">
        <v>0.69</v>
      </c>
      <c r="G350" s="24">
        <v>44286</v>
      </c>
    </row>
    <row r="351" spans="5:7" x14ac:dyDescent="0.2">
      <c r="E351" s="37"/>
      <c r="F351" s="37">
        <v>0.23</v>
      </c>
      <c r="G351" s="24">
        <v>44377</v>
      </c>
    </row>
    <row r="352" spans="5:7" x14ac:dyDescent="0.2">
      <c r="E352" s="37"/>
      <c r="F352" s="37">
        <v>3</v>
      </c>
      <c r="G352" s="24">
        <v>44469</v>
      </c>
    </row>
    <row r="353" spans="1:7" x14ac:dyDescent="0.2">
      <c r="E353" s="37">
        <f>SUM(F350:F353)</f>
        <v>4.45</v>
      </c>
      <c r="F353" s="37">
        <v>0.53</v>
      </c>
      <c r="G353" s="24">
        <v>44561</v>
      </c>
    </row>
    <row r="354" spans="1:7" x14ac:dyDescent="0.2">
      <c r="E354" s="37"/>
      <c r="F354" s="37">
        <v>0.59</v>
      </c>
      <c r="G354" s="24">
        <v>44651</v>
      </c>
    </row>
    <row r="355" spans="1:7" x14ac:dyDescent="0.2">
      <c r="E355" s="37"/>
      <c r="F355" s="37">
        <v>0.81</v>
      </c>
      <c r="G355" s="24">
        <v>44742</v>
      </c>
    </row>
    <row r="356" spans="1:7" x14ac:dyDescent="0.2">
      <c r="E356" s="37"/>
      <c r="F356" s="37">
        <v>4</v>
      </c>
      <c r="G356" s="24">
        <v>44834</v>
      </c>
    </row>
    <row r="357" spans="1:7" x14ac:dyDescent="0.2">
      <c r="E357" s="37">
        <f>SUM(F354:F357)</f>
        <v>5.44</v>
      </c>
      <c r="F357" s="37">
        <v>0.04</v>
      </c>
      <c r="G357" s="24">
        <v>44926</v>
      </c>
    </row>
    <row r="358" spans="1:7" x14ac:dyDescent="0.2">
      <c r="G358" s="24"/>
    </row>
    <row r="359" spans="1:7" x14ac:dyDescent="0.2">
      <c r="A359" s="1" t="s">
        <v>282</v>
      </c>
      <c r="G359" s="24"/>
    </row>
    <row r="360" spans="1:7" x14ac:dyDescent="0.2">
      <c r="A360" s="1" t="s">
        <v>1204</v>
      </c>
      <c r="G360" s="24"/>
    </row>
    <row r="361" spans="1:7" x14ac:dyDescent="0.2">
      <c r="A361" s="1" t="s">
        <v>1205</v>
      </c>
      <c r="G361" s="24"/>
    </row>
    <row r="362" spans="1:7" x14ac:dyDescent="0.2">
      <c r="A362" s="1" t="s">
        <v>1206</v>
      </c>
      <c r="G362" s="24"/>
    </row>
    <row r="363" spans="1:7" x14ac:dyDescent="0.2">
      <c r="A363" s="1" t="s">
        <v>1207</v>
      </c>
      <c r="G363" s="24"/>
    </row>
    <row r="364" spans="1:7" x14ac:dyDescent="0.2">
      <c r="G364" s="24"/>
    </row>
    <row r="365" spans="1:7" x14ac:dyDescent="0.2">
      <c r="A365" s="4" t="s">
        <v>198</v>
      </c>
      <c r="G365" s="24"/>
    </row>
    <row r="366" spans="1:7" x14ac:dyDescent="0.2">
      <c r="G366" s="24"/>
    </row>
    <row r="367" spans="1:7" x14ac:dyDescent="0.2">
      <c r="A367" s="4" t="s">
        <v>1208</v>
      </c>
      <c r="G367" s="24"/>
    </row>
    <row r="368" spans="1:7" x14ac:dyDescent="0.2">
      <c r="A368" s="1" t="s">
        <v>3009</v>
      </c>
      <c r="G368" s="24"/>
    </row>
    <row r="369" spans="1:7" x14ac:dyDescent="0.2">
      <c r="A369" s="1" t="s">
        <v>3010</v>
      </c>
      <c r="G369" s="24"/>
    </row>
    <row r="370" spans="1:7" x14ac:dyDescent="0.2">
      <c r="A370" s="1" t="s">
        <v>3011</v>
      </c>
      <c r="G370" s="24"/>
    </row>
    <row r="371" spans="1:7" x14ac:dyDescent="0.2">
      <c r="G371" s="24"/>
    </row>
    <row r="372" spans="1:7" x14ac:dyDescent="0.2">
      <c r="A372" s="1" t="s">
        <v>1209</v>
      </c>
      <c r="D372" s="83">
        <f>5.44/2.41-1</f>
        <v>1.2572614107883817</v>
      </c>
      <c r="F372" s="1" t="s">
        <v>1210</v>
      </c>
      <c r="G372" s="24"/>
    </row>
    <row r="373" spans="1:7" x14ac:dyDescent="0.2">
      <c r="A373" s="1" t="s">
        <v>1211</v>
      </c>
      <c r="D373" s="178">
        <f>(1+D372)^0.2-1</f>
        <v>0.1768371549491552</v>
      </c>
      <c r="F373" s="1" t="s">
        <v>1212</v>
      </c>
      <c r="G373" s="24"/>
    </row>
    <row r="374" spans="1:7" x14ac:dyDescent="0.2">
      <c r="G374" s="24"/>
    </row>
    <row r="375" spans="1:7" x14ac:dyDescent="0.2">
      <c r="A375" s="1" t="s">
        <v>3012</v>
      </c>
      <c r="G375" s="24"/>
    </row>
    <row r="376" spans="1:7" x14ac:dyDescent="0.2">
      <c r="A376" s="1" t="s">
        <v>3013</v>
      </c>
      <c r="G376" s="24"/>
    </row>
    <row r="377" spans="1:7" x14ac:dyDescent="0.2">
      <c r="G377" s="24"/>
    </row>
    <row r="378" spans="1:7" x14ac:dyDescent="0.2">
      <c r="A378" s="4" t="s">
        <v>1213</v>
      </c>
      <c r="G378" s="24"/>
    </row>
    <row r="379" spans="1:7" x14ac:dyDescent="0.2">
      <c r="A379" s="1" t="s">
        <v>1214</v>
      </c>
      <c r="G379" s="24"/>
    </row>
    <row r="380" spans="1:7" x14ac:dyDescent="0.2">
      <c r="D380" s="160">
        <f>E357*(1+D373)</f>
        <v>6.401994122923405</v>
      </c>
      <c r="F380" s="1" t="s">
        <v>1215</v>
      </c>
      <c r="G380" s="24"/>
    </row>
    <row r="381" spans="1:7" x14ac:dyDescent="0.2">
      <c r="D381" s="172"/>
      <c r="G381" s="24"/>
    </row>
    <row r="382" spans="1:7" x14ac:dyDescent="0.2">
      <c r="A382" s="4" t="s">
        <v>1216</v>
      </c>
      <c r="D382" s="172"/>
      <c r="G382" s="24"/>
    </row>
    <row r="383" spans="1:7" x14ac:dyDescent="0.2">
      <c r="A383" s="1" t="s">
        <v>1161</v>
      </c>
      <c r="D383" s="161">
        <f>D380/10%</f>
        <v>64.01994122923405</v>
      </c>
      <c r="F383" s="1" t="s">
        <v>1217</v>
      </c>
      <c r="G383" s="24"/>
    </row>
    <row r="384" spans="1:7" x14ac:dyDescent="0.2">
      <c r="D384" s="172"/>
      <c r="G384" s="24"/>
    </row>
    <row r="385" spans="1:8" x14ac:dyDescent="0.2">
      <c r="A385" s="1" t="s">
        <v>1218</v>
      </c>
      <c r="D385" s="172"/>
      <c r="G385" s="24"/>
    </row>
    <row r="386" spans="1:8" x14ac:dyDescent="0.2">
      <c r="A386" s="1" t="s">
        <v>1219</v>
      </c>
      <c r="D386" s="172"/>
      <c r="F386" s="1" t="s">
        <v>579</v>
      </c>
      <c r="G386" s="24"/>
    </row>
    <row r="387" spans="1:8" x14ac:dyDescent="0.2">
      <c r="A387" s="1" t="s">
        <v>1220</v>
      </c>
      <c r="D387" s="172"/>
      <c r="G387" s="24"/>
    </row>
    <row r="388" spans="1:8" x14ac:dyDescent="0.2">
      <c r="A388" s="19"/>
      <c r="H388" s="20"/>
    </row>
    <row r="389" spans="1:8" x14ac:dyDescent="0.2">
      <c r="A389" s="19"/>
      <c r="H389" s="20"/>
    </row>
    <row r="390" spans="1:8" ht="23" x14ac:dyDescent="0.25">
      <c r="A390" s="605" t="s">
        <v>1221</v>
      </c>
      <c r="B390" s="606"/>
      <c r="C390" s="606"/>
      <c r="D390" s="606"/>
      <c r="E390" s="606"/>
      <c r="F390" s="606"/>
      <c r="G390" s="606"/>
      <c r="H390" s="607"/>
    </row>
    <row r="391" spans="1:8" ht="17" thickBot="1" x14ac:dyDescent="0.25">
      <c r="A391" s="608" t="s">
        <v>1222</v>
      </c>
      <c r="B391" s="609"/>
      <c r="C391" s="609"/>
      <c r="D391" s="609"/>
      <c r="E391" s="609"/>
      <c r="F391" s="609"/>
      <c r="G391" s="609"/>
      <c r="H391" s="610"/>
    </row>
    <row r="392" spans="1:8" x14ac:dyDescent="0.2">
      <c r="A392" s="37"/>
      <c r="B392" s="37"/>
      <c r="C392" s="37"/>
      <c r="D392" s="37"/>
      <c r="E392" s="37"/>
      <c r="F392" s="37"/>
      <c r="G392" s="37"/>
      <c r="H392" s="37"/>
    </row>
    <row r="393" spans="1:8" x14ac:dyDescent="0.2">
      <c r="A393" s="37"/>
      <c r="B393" s="37"/>
      <c r="C393" s="37"/>
      <c r="D393" s="37"/>
      <c r="E393" s="37"/>
      <c r="F393" s="37"/>
      <c r="G393" s="37"/>
      <c r="H393" s="37"/>
    </row>
    <row r="394" spans="1:8" x14ac:dyDescent="0.2">
      <c r="A394" s="37"/>
      <c r="B394" s="37"/>
      <c r="C394" s="37"/>
      <c r="D394" s="37"/>
      <c r="E394" s="37"/>
      <c r="F394" s="37"/>
      <c r="G394" s="37"/>
      <c r="H394" s="37"/>
    </row>
    <row r="395" spans="1:8" x14ac:dyDescent="0.2">
      <c r="A395" s="37"/>
      <c r="B395" s="37"/>
      <c r="C395" s="37"/>
      <c r="D395" s="37"/>
      <c r="E395" s="37"/>
      <c r="F395" s="37"/>
      <c r="G395" s="37"/>
      <c r="H395" s="37"/>
    </row>
    <row r="396" spans="1:8" x14ac:dyDescent="0.2">
      <c r="A396" s="37"/>
      <c r="B396" s="37"/>
      <c r="C396" s="37"/>
      <c r="D396" s="37"/>
      <c r="E396" s="37"/>
      <c r="F396" s="37"/>
      <c r="G396" s="37"/>
      <c r="H396" s="37"/>
    </row>
    <row r="397" spans="1:8" x14ac:dyDescent="0.2">
      <c r="A397" s="37"/>
      <c r="B397" s="37"/>
      <c r="C397" s="37"/>
      <c r="D397" s="37"/>
      <c r="E397" s="37"/>
      <c r="F397" s="37"/>
      <c r="G397" s="37"/>
      <c r="H397" s="37"/>
    </row>
    <row r="398" spans="1:8" x14ac:dyDescent="0.2">
      <c r="A398" s="37"/>
      <c r="B398" s="37"/>
      <c r="C398" s="37"/>
      <c r="D398" s="37"/>
      <c r="E398" s="37"/>
      <c r="F398" s="37"/>
      <c r="G398" s="37"/>
      <c r="H398" s="37"/>
    </row>
    <row r="399" spans="1:8" x14ac:dyDescent="0.2">
      <c r="A399" s="37"/>
      <c r="B399" s="37"/>
      <c r="C399" s="37"/>
      <c r="D399" s="37"/>
      <c r="E399" s="37"/>
      <c r="F399" s="37"/>
      <c r="G399" s="37"/>
      <c r="H399" s="37"/>
    </row>
    <row r="403" spans="1:8" x14ac:dyDescent="0.2">
      <c r="A403" s="49" t="s">
        <v>1223</v>
      </c>
      <c r="B403" s="49"/>
      <c r="C403" s="49"/>
      <c r="D403" s="49"/>
      <c r="E403" s="49"/>
      <c r="F403" s="49"/>
      <c r="G403" s="49"/>
      <c r="H403" s="49"/>
    </row>
    <row r="404" spans="1:8" x14ac:dyDescent="0.2">
      <c r="A404" s="1" t="s">
        <v>1224</v>
      </c>
    </row>
    <row r="405" spans="1:8" x14ac:dyDescent="0.2">
      <c r="A405" s="1" t="s">
        <v>1225</v>
      </c>
    </row>
    <row r="406" spans="1:8" x14ac:dyDescent="0.2">
      <c r="A406" s="1" t="s">
        <v>1226</v>
      </c>
    </row>
    <row r="407" spans="1:8" x14ac:dyDescent="0.2">
      <c r="A407" s="1" t="s">
        <v>1227</v>
      </c>
    </row>
    <row r="408" spans="1:8" x14ac:dyDescent="0.2">
      <c r="A408" s="1" t="s">
        <v>1228</v>
      </c>
    </row>
    <row r="410" spans="1:8" x14ac:dyDescent="0.2">
      <c r="A410" s="4" t="s">
        <v>198</v>
      </c>
    </row>
    <row r="415" spans="1:8" x14ac:dyDescent="0.2">
      <c r="A415" s="49" t="s">
        <v>1229</v>
      </c>
      <c r="B415" s="49"/>
      <c r="C415" s="49"/>
      <c r="D415" s="49"/>
      <c r="E415" s="49"/>
      <c r="F415" s="49"/>
      <c r="G415" s="49"/>
      <c r="H415" s="49"/>
    </row>
    <row r="416" spans="1:8" x14ac:dyDescent="0.2">
      <c r="A416" s="1" t="s">
        <v>1230</v>
      </c>
    </row>
    <row r="417" spans="1:8" x14ac:dyDescent="0.2">
      <c r="A417" s="1" t="s">
        <v>1231</v>
      </c>
    </row>
    <row r="419" spans="1:8" x14ac:dyDescent="0.2">
      <c r="A419" s="4" t="s">
        <v>1232</v>
      </c>
    </row>
    <row r="420" spans="1:8" x14ac:dyDescent="0.2">
      <c r="A420" s="1" t="s">
        <v>1233</v>
      </c>
    </row>
    <row r="421" spans="1:8" x14ac:dyDescent="0.2">
      <c r="A421" s="1" t="s">
        <v>1234</v>
      </c>
    </row>
    <row r="422" spans="1:8" x14ac:dyDescent="0.2">
      <c r="A422" s="1" t="s">
        <v>1235</v>
      </c>
    </row>
    <row r="424" spans="1:8" x14ac:dyDescent="0.2">
      <c r="A424" s="1" t="s">
        <v>1236</v>
      </c>
    </row>
    <row r="425" spans="1:8" x14ac:dyDescent="0.2">
      <c r="A425" s="1" t="s">
        <v>1237</v>
      </c>
    </row>
    <row r="429" spans="1:8" x14ac:dyDescent="0.2">
      <c r="A429" s="51" t="s">
        <v>1238</v>
      </c>
      <c r="B429" s="51"/>
      <c r="C429" s="51"/>
      <c r="D429" s="51"/>
      <c r="E429" s="51"/>
      <c r="F429" s="51"/>
      <c r="G429" s="51"/>
      <c r="H429" s="51"/>
    </row>
    <row r="430" spans="1:8" x14ac:dyDescent="0.2">
      <c r="A430" s="1" t="s">
        <v>982</v>
      </c>
    </row>
    <row r="431" spans="1:8" x14ac:dyDescent="0.2">
      <c r="A431" s="1" t="s">
        <v>983</v>
      </c>
    </row>
    <row r="432" spans="1:8" x14ac:dyDescent="0.2">
      <c r="A432" s="1" t="s">
        <v>984</v>
      </c>
    </row>
    <row r="434" spans="1:1" x14ac:dyDescent="0.2">
      <c r="A434" s="1" t="s">
        <v>282</v>
      </c>
    </row>
    <row r="435" spans="1:1" x14ac:dyDescent="0.2">
      <c r="A435" s="1" t="s">
        <v>985</v>
      </c>
    </row>
    <row r="436" spans="1:1" x14ac:dyDescent="0.2">
      <c r="A436" s="1" t="s">
        <v>986</v>
      </c>
    </row>
    <row r="437" spans="1:1" x14ac:dyDescent="0.2">
      <c r="A437" s="1" t="s">
        <v>987</v>
      </c>
    </row>
    <row r="439" spans="1:1" x14ac:dyDescent="0.2">
      <c r="A439" s="4" t="s">
        <v>378</v>
      </c>
    </row>
    <row r="440" spans="1:1" x14ac:dyDescent="0.2">
      <c r="A440" s="1" t="s">
        <v>988</v>
      </c>
    </row>
    <row r="441" spans="1:1" x14ac:dyDescent="0.2">
      <c r="A441" s="1" t="s">
        <v>989</v>
      </c>
    </row>
    <row r="442" spans="1:1" x14ac:dyDescent="0.2">
      <c r="A442" s="1" t="s">
        <v>990</v>
      </c>
    </row>
    <row r="444" spans="1:1" x14ac:dyDescent="0.2">
      <c r="A444" s="1" t="s">
        <v>991</v>
      </c>
    </row>
    <row r="445" spans="1:1" x14ac:dyDescent="0.2">
      <c r="A445" s="1" t="s">
        <v>992</v>
      </c>
    </row>
    <row r="450" spans="1:8" x14ac:dyDescent="0.2">
      <c r="A450" s="51" t="s">
        <v>1239</v>
      </c>
      <c r="B450" s="51"/>
      <c r="C450" s="51"/>
      <c r="D450" s="51"/>
      <c r="E450" s="51"/>
      <c r="F450" s="51"/>
      <c r="G450" s="51"/>
      <c r="H450" s="51"/>
    </row>
    <row r="451" spans="1:8" x14ac:dyDescent="0.2">
      <c r="A451" s="1" t="s">
        <v>1240</v>
      </c>
    </row>
    <row r="452" spans="1:8" x14ac:dyDescent="0.2">
      <c r="A452" s="1" t="s">
        <v>1241</v>
      </c>
    </row>
    <row r="454" spans="1:8" x14ac:dyDescent="0.2">
      <c r="A454" s="1" t="s">
        <v>282</v>
      </c>
    </row>
    <row r="455" spans="1:8" x14ac:dyDescent="0.2">
      <c r="A455" s="1" t="s">
        <v>1242</v>
      </c>
    </row>
    <row r="456" spans="1:8" x14ac:dyDescent="0.2">
      <c r="A456" s="1" t="s">
        <v>1243</v>
      </c>
    </row>
    <row r="457" spans="1:8" x14ac:dyDescent="0.2">
      <c r="A457" s="1" t="s">
        <v>1244</v>
      </c>
    </row>
    <row r="459" spans="1:8" x14ac:dyDescent="0.2">
      <c r="A459" s="4" t="s">
        <v>198</v>
      </c>
    </row>
    <row r="461" spans="1:8" x14ac:dyDescent="0.2">
      <c r="A461" s="4" t="s">
        <v>330</v>
      </c>
    </row>
    <row r="462" spans="1:8" x14ac:dyDescent="0.2">
      <c r="A462" s="1" t="s">
        <v>1245</v>
      </c>
    </row>
    <row r="463" spans="1:8" x14ac:dyDescent="0.2">
      <c r="A463" s="1" t="s">
        <v>1246</v>
      </c>
    </row>
    <row r="470" spans="1:1" x14ac:dyDescent="0.2">
      <c r="A470" s="4" t="s">
        <v>1247</v>
      </c>
    </row>
    <row r="471" spans="1:1" x14ac:dyDescent="0.2">
      <c r="A471" s="1" t="s">
        <v>1248</v>
      </c>
    </row>
    <row r="472" spans="1:1" x14ac:dyDescent="0.2">
      <c r="A472" s="1" t="s">
        <v>1249</v>
      </c>
    </row>
    <row r="473" spans="1:1" x14ac:dyDescent="0.2">
      <c r="A473" s="1" t="s">
        <v>1250</v>
      </c>
    </row>
    <row r="478" spans="1:1" x14ac:dyDescent="0.2">
      <c r="A478" s="1" t="s">
        <v>1251</v>
      </c>
    </row>
    <row r="481" spans="1:8" x14ac:dyDescent="0.2">
      <c r="A481" s="1" t="s">
        <v>1252</v>
      </c>
    </row>
    <row r="482" spans="1:8" x14ac:dyDescent="0.2">
      <c r="A482" s="1" t="s">
        <v>1253</v>
      </c>
    </row>
    <row r="483" spans="1:8" x14ac:dyDescent="0.2">
      <c r="A483" s="1" t="s">
        <v>1254</v>
      </c>
    </row>
    <row r="485" spans="1:8" x14ac:dyDescent="0.2">
      <c r="A485" s="1" t="s">
        <v>1255</v>
      </c>
    </row>
    <row r="490" spans="1:8" x14ac:dyDescent="0.2">
      <c r="A490" s="51" t="s">
        <v>1256</v>
      </c>
      <c r="B490" s="51"/>
      <c r="C490" s="51"/>
      <c r="D490" s="51"/>
      <c r="E490" s="51"/>
      <c r="F490" s="51"/>
      <c r="G490" s="51"/>
      <c r="H490" s="51"/>
    </row>
    <row r="491" spans="1:8" x14ac:dyDescent="0.2">
      <c r="A491" s="1" t="s">
        <v>1257</v>
      </c>
    </row>
    <row r="492" spans="1:8" x14ac:dyDescent="0.2">
      <c r="A492" s="1" t="s">
        <v>1258</v>
      </c>
    </row>
    <row r="493" spans="1:8" x14ac:dyDescent="0.2">
      <c r="A493" s="1" t="s">
        <v>1259</v>
      </c>
    </row>
    <row r="495" spans="1:8" x14ac:dyDescent="0.2">
      <c r="A495" s="1" t="s">
        <v>282</v>
      </c>
    </row>
    <row r="496" spans="1:8" x14ac:dyDescent="0.2">
      <c r="A496" s="1" t="s">
        <v>1260</v>
      </c>
    </row>
    <row r="497" spans="1:7" x14ac:dyDescent="0.2">
      <c r="A497" s="1" t="s">
        <v>1261</v>
      </c>
    </row>
    <row r="498" spans="1:7" x14ac:dyDescent="0.2">
      <c r="A498" s="1" t="s">
        <v>1262</v>
      </c>
    </row>
    <row r="500" spans="1:7" x14ac:dyDescent="0.2">
      <c r="A500" s="1" t="s">
        <v>1263</v>
      </c>
    </row>
    <row r="504" spans="1:7" x14ac:dyDescent="0.2">
      <c r="A504" s="1" t="s">
        <v>79</v>
      </c>
    </row>
    <row r="505" spans="1:7" x14ac:dyDescent="0.2">
      <c r="A505" s="1" t="s">
        <v>603</v>
      </c>
      <c r="B505" s="1" t="s">
        <v>1264</v>
      </c>
    </row>
    <row r="506" spans="1:7" x14ac:dyDescent="0.2">
      <c r="A506" s="1" t="s">
        <v>548</v>
      </c>
      <c r="B506" s="1" t="s">
        <v>748</v>
      </c>
    </row>
    <row r="507" spans="1:7" x14ac:dyDescent="0.2">
      <c r="A507" s="1" t="s">
        <v>559</v>
      </c>
      <c r="B507" s="1" t="s">
        <v>1265</v>
      </c>
    </row>
    <row r="509" spans="1:7" x14ac:dyDescent="0.2">
      <c r="A509" s="4" t="s">
        <v>198</v>
      </c>
    </row>
    <row r="511" spans="1:7" x14ac:dyDescent="0.2">
      <c r="A511" s="1" t="s">
        <v>330</v>
      </c>
      <c r="F511" s="37" t="s">
        <v>554</v>
      </c>
      <c r="G511" s="1" t="s">
        <v>1266</v>
      </c>
    </row>
    <row r="512" spans="1:7" x14ac:dyDescent="0.2">
      <c r="F512" s="37" t="s">
        <v>550</v>
      </c>
      <c r="G512" s="1" t="s">
        <v>1267</v>
      </c>
    </row>
    <row r="513" spans="1:7" x14ac:dyDescent="0.2">
      <c r="F513" s="37" t="s">
        <v>552</v>
      </c>
      <c r="G513" s="1" t="s">
        <v>1268</v>
      </c>
    </row>
    <row r="514" spans="1:7" x14ac:dyDescent="0.2">
      <c r="F514" s="37" t="s">
        <v>548</v>
      </c>
      <c r="G514" s="1" t="s">
        <v>1269</v>
      </c>
    </row>
    <row r="516" spans="1:7" x14ac:dyDescent="0.2">
      <c r="A516" s="1" t="s">
        <v>1270</v>
      </c>
    </row>
    <row r="517" spans="1:7" x14ac:dyDescent="0.2">
      <c r="A517" s="1" t="s">
        <v>1271</v>
      </c>
    </row>
    <row r="523" spans="1:7" x14ac:dyDescent="0.2">
      <c r="A523" s="1" t="s">
        <v>1272</v>
      </c>
    </row>
    <row r="528" spans="1:7" x14ac:dyDescent="0.2">
      <c r="C528" s="1" t="s">
        <v>1273</v>
      </c>
      <c r="E528" s="1" t="s">
        <v>1274</v>
      </c>
      <c r="F528" s="1" t="s">
        <v>1275</v>
      </c>
    </row>
    <row r="529" spans="1:8" x14ac:dyDescent="0.2">
      <c r="C529" s="1" t="s">
        <v>1276</v>
      </c>
      <c r="F529" s="1" t="s">
        <v>1277</v>
      </c>
    </row>
    <row r="530" spans="1:8" x14ac:dyDescent="0.2">
      <c r="C530" s="1" t="s">
        <v>1278</v>
      </c>
      <c r="F530" s="1" t="s">
        <v>1279</v>
      </c>
    </row>
    <row r="531" spans="1:8" x14ac:dyDescent="0.2">
      <c r="C531" s="1" t="s">
        <v>1280</v>
      </c>
    </row>
    <row r="532" spans="1:8" x14ac:dyDescent="0.2">
      <c r="C532" s="1" t="s">
        <v>1281</v>
      </c>
    </row>
    <row r="533" spans="1:8" x14ac:dyDescent="0.2">
      <c r="C533" s="1" t="s">
        <v>1282</v>
      </c>
    </row>
    <row r="536" spans="1:8" x14ac:dyDescent="0.2">
      <c r="C536" s="1" t="s">
        <v>1283</v>
      </c>
    </row>
    <row r="537" spans="1:8" x14ac:dyDescent="0.2">
      <c r="C537" s="1" t="s">
        <v>1284</v>
      </c>
    </row>
    <row r="540" spans="1:8" x14ac:dyDescent="0.2">
      <c r="A540" s="1" t="s">
        <v>1285</v>
      </c>
    </row>
    <row r="541" spans="1:8" x14ac:dyDescent="0.2">
      <c r="G541" s="37" t="s">
        <v>548</v>
      </c>
      <c r="H541" s="1" t="s">
        <v>549</v>
      </c>
    </row>
    <row r="542" spans="1:8" x14ac:dyDescent="0.2">
      <c r="G542" s="37" t="s">
        <v>559</v>
      </c>
      <c r="H542" s="1" t="s">
        <v>1286</v>
      </c>
    </row>
    <row r="543" spans="1:8" x14ac:dyDescent="0.2">
      <c r="G543" s="37" t="s">
        <v>603</v>
      </c>
      <c r="H543" s="1" t="s">
        <v>1287</v>
      </c>
    </row>
    <row r="545" spans="1:8" x14ac:dyDescent="0.2">
      <c r="A545" s="1" t="s">
        <v>1288</v>
      </c>
    </row>
    <row r="546" spans="1:8" x14ac:dyDescent="0.2">
      <c r="A546" s="1" t="s">
        <v>1289</v>
      </c>
    </row>
    <row r="554" spans="1:8" x14ac:dyDescent="0.2">
      <c r="A554" s="51" t="s">
        <v>1290</v>
      </c>
      <c r="B554" s="51"/>
      <c r="C554" s="51"/>
      <c r="D554" s="51"/>
      <c r="E554" s="51"/>
      <c r="F554" s="51"/>
      <c r="G554" s="51"/>
      <c r="H554" s="51"/>
    </row>
    <row r="555" spans="1:8" x14ac:dyDescent="0.2">
      <c r="A555" s="1" t="s">
        <v>1291</v>
      </c>
    </row>
    <row r="556" spans="1:8" x14ac:dyDescent="0.2">
      <c r="A556" s="1" t="s">
        <v>1292</v>
      </c>
    </row>
    <row r="557" spans="1:8" x14ac:dyDescent="0.2">
      <c r="A557" s="1" t="s">
        <v>1293</v>
      </c>
    </row>
    <row r="559" spans="1:8" x14ac:dyDescent="0.2">
      <c r="A559" s="1" t="s">
        <v>282</v>
      </c>
    </row>
    <row r="560" spans="1:8" x14ac:dyDescent="0.2">
      <c r="A560" s="1" t="s">
        <v>1294</v>
      </c>
    </row>
    <row r="562" spans="1:5" x14ac:dyDescent="0.2">
      <c r="A562" s="4" t="s">
        <v>198</v>
      </c>
    </row>
    <row r="563" spans="1:5" x14ac:dyDescent="0.2">
      <c r="A563" s="1" t="s">
        <v>1295</v>
      </c>
    </row>
    <row r="570" spans="1:5" x14ac:dyDescent="0.2">
      <c r="B570" s="1" t="s">
        <v>1296</v>
      </c>
      <c r="E570" s="1" t="s">
        <v>1297</v>
      </c>
    </row>
    <row r="571" spans="1:5" x14ac:dyDescent="0.2">
      <c r="B571" s="1" t="s">
        <v>1298</v>
      </c>
      <c r="E571" s="1" t="s">
        <v>1299</v>
      </c>
    </row>
    <row r="572" spans="1:5" x14ac:dyDescent="0.2">
      <c r="B572" s="1" t="s">
        <v>1300</v>
      </c>
      <c r="E572" s="1" t="s">
        <v>1301</v>
      </c>
    </row>
    <row r="573" spans="1:5" x14ac:dyDescent="0.2">
      <c r="B573" s="1" t="s">
        <v>1302</v>
      </c>
    </row>
    <row r="584" spans="1:8" x14ac:dyDescent="0.2">
      <c r="A584" s="51" t="s">
        <v>1303</v>
      </c>
      <c r="B584" s="51"/>
      <c r="C584" s="51"/>
      <c r="D584" s="51"/>
      <c r="E584" s="51"/>
      <c r="F584" s="51"/>
      <c r="G584" s="51"/>
      <c r="H584" s="51"/>
    </row>
    <row r="585" spans="1:8" x14ac:dyDescent="0.2">
      <c r="A585" s="1" t="s">
        <v>1304</v>
      </c>
    </row>
    <row r="587" spans="1:8" x14ac:dyDescent="0.2">
      <c r="A587" s="162" t="s">
        <v>1305</v>
      </c>
      <c r="B587" s="162"/>
      <c r="C587" s="162"/>
      <c r="D587" s="162"/>
      <c r="E587" s="162"/>
      <c r="F587" s="162"/>
      <c r="G587" s="162"/>
      <c r="H587" s="162"/>
    </row>
    <row r="588" spans="1:8" x14ac:dyDescent="0.2">
      <c r="A588" s="162" t="s">
        <v>1306</v>
      </c>
      <c r="B588" s="162"/>
      <c r="C588" s="162"/>
      <c r="D588" s="162"/>
      <c r="E588" s="162"/>
      <c r="F588" s="162"/>
      <c r="G588" s="162"/>
      <c r="H588" s="162"/>
    </row>
    <row r="591" spans="1:8" x14ac:dyDescent="0.2">
      <c r="A591" s="51" t="s">
        <v>1307</v>
      </c>
      <c r="B591" s="51"/>
      <c r="C591" s="51"/>
      <c r="D591" s="51"/>
      <c r="E591" s="51"/>
      <c r="F591" s="51"/>
      <c r="G591" s="51"/>
      <c r="H591" s="51"/>
    </row>
    <row r="592" spans="1:8" x14ac:dyDescent="0.2">
      <c r="A592" s="1" t="s">
        <v>1308</v>
      </c>
    </row>
    <row r="593" spans="1:1" x14ac:dyDescent="0.2">
      <c r="A593" s="1" t="s">
        <v>1309</v>
      </c>
    </row>
    <row r="594" spans="1:1" x14ac:dyDescent="0.2">
      <c r="A594" s="1" t="s">
        <v>1310</v>
      </c>
    </row>
    <row r="596" spans="1:1" x14ac:dyDescent="0.2">
      <c r="A596" s="4" t="s">
        <v>198</v>
      </c>
    </row>
    <row r="598" spans="1:1" x14ac:dyDescent="0.2">
      <c r="A598" s="1" t="s">
        <v>330</v>
      </c>
    </row>
    <row r="599" spans="1:1" x14ac:dyDescent="0.2">
      <c r="A599" s="1" t="s">
        <v>1311</v>
      </c>
    </row>
    <row r="600" spans="1:1" x14ac:dyDescent="0.2">
      <c r="A600" s="1" t="s">
        <v>1312</v>
      </c>
    </row>
    <row r="601" spans="1:1" x14ac:dyDescent="0.2">
      <c r="A601" s="15" t="s">
        <v>1313</v>
      </c>
    </row>
    <row r="602" spans="1:1" x14ac:dyDescent="0.2">
      <c r="A602" s="15"/>
    </row>
    <row r="603" spans="1:1" x14ac:dyDescent="0.2">
      <c r="A603" s="162" t="s">
        <v>1314</v>
      </c>
    </row>
    <row r="604" spans="1:1" x14ac:dyDescent="0.2">
      <c r="A604" s="162" t="s">
        <v>1315</v>
      </c>
    </row>
    <row r="606" spans="1:1" x14ac:dyDescent="0.2">
      <c r="A606" s="1" t="s">
        <v>1316</v>
      </c>
    </row>
    <row r="611" spans="1:3" x14ac:dyDescent="0.2">
      <c r="A611" s="1" t="s">
        <v>79</v>
      </c>
    </row>
    <row r="612" spans="1:3" x14ac:dyDescent="0.2">
      <c r="B612" s="1" t="s">
        <v>1317</v>
      </c>
      <c r="C612" s="1" t="s">
        <v>1318</v>
      </c>
    </row>
    <row r="613" spans="1:3" x14ac:dyDescent="0.2">
      <c r="B613" s="1" t="s">
        <v>559</v>
      </c>
      <c r="C613" s="1" t="s">
        <v>1319</v>
      </c>
    </row>
    <row r="614" spans="1:3" x14ac:dyDescent="0.2">
      <c r="B614" s="1" t="s">
        <v>550</v>
      </c>
      <c r="C614" s="1" t="s">
        <v>1320</v>
      </c>
    </row>
    <row r="616" spans="1:3" x14ac:dyDescent="0.2">
      <c r="A616" s="1" t="s">
        <v>1321</v>
      </c>
    </row>
    <row r="617" spans="1:3" x14ac:dyDescent="0.2">
      <c r="A617" s="1" t="s">
        <v>1322</v>
      </c>
    </row>
    <row r="619" spans="1:3" x14ac:dyDescent="0.2">
      <c r="A619" s="1" t="s">
        <v>1323</v>
      </c>
    </row>
    <row r="622" spans="1:3" x14ac:dyDescent="0.2">
      <c r="A622" s="1" t="s">
        <v>79</v>
      </c>
    </row>
    <row r="623" spans="1:3" x14ac:dyDescent="0.2">
      <c r="B623" s="1" t="s">
        <v>1324</v>
      </c>
      <c r="C623" s="1" t="s">
        <v>1325</v>
      </c>
    </row>
    <row r="624" spans="1:3" x14ac:dyDescent="0.2">
      <c r="B624" s="1" t="s">
        <v>548</v>
      </c>
      <c r="C624" s="1" t="s">
        <v>1326</v>
      </c>
    </row>
    <row r="625" spans="1:3" x14ac:dyDescent="0.2">
      <c r="B625" s="1" t="s">
        <v>1317</v>
      </c>
      <c r="C625" s="1" t="s">
        <v>1318</v>
      </c>
    </row>
    <row r="627" spans="1:3" x14ac:dyDescent="0.2">
      <c r="A627" s="1" t="s">
        <v>1327</v>
      </c>
    </row>
    <row r="628" spans="1:3" x14ac:dyDescent="0.2">
      <c r="A628" s="1" t="s">
        <v>1328</v>
      </c>
    </row>
    <row r="630" spans="1:3" x14ac:dyDescent="0.2">
      <c r="A630" s="1" t="s">
        <v>1329</v>
      </c>
    </row>
    <row r="632" spans="1:3" x14ac:dyDescent="0.2">
      <c r="A632" s="1" t="s">
        <v>1330</v>
      </c>
    </row>
    <row r="635" spans="1:3" x14ac:dyDescent="0.2">
      <c r="A635" s="1" t="s">
        <v>1331</v>
      </c>
    </row>
    <row r="637" spans="1:3" x14ac:dyDescent="0.2">
      <c r="A637" s="1" t="s">
        <v>1332</v>
      </c>
    </row>
    <row r="642" spans="1:8" x14ac:dyDescent="0.2">
      <c r="A642" s="4" t="s">
        <v>1333</v>
      </c>
    </row>
    <row r="643" spans="1:8" x14ac:dyDescent="0.2">
      <c r="A643" s="1" t="s">
        <v>1334</v>
      </c>
    </row>
    <row r="649" spans="1:8" x14ac:dyDescent="0.2">
      <c r="A649" s="51" t="s">
        <v>1335</v>
      </c>
      <c r="B649" s="51"/>
      <c r="C649" s="51"/>
      <c r="D649" s="51"/>
      <c r="E649" s="51"/>
      <c r="F649" s="51"/>
      <c r="G649" s="51"/>
      <c r="H649" s="51"/>
    </row>
    <row r="650" spans="1:8" x14ac:dyDescent="0.2">
      <c r="A650" s="1" t="s">
        <v>1336</v>
      </c>
    </row>
    <row r="652" spans="1:8" x14ac:dyDescent="0.2">
      <c r="A652" s="1" t="s">
        <v>919</v>
      </c>
      <c r="C652" s="25">
        <v>2018</v>
      </c>
      <c r="D652" s="25">
        <v>2019</v>
      </c>
      <c r="E652" s="25">
        <v>2020</v>
      </c>
      <c r="F652" s="25">
        <v>2021</v>
      </c>
    </row>
    <row r="653" spans="1:8" x14ac:dyDescent="0.2">
      <c r="A653" s="1" t="s">
        <v>1337</v>
      </c>
      <c r="C653" s="1">
        <v>50</v>
      </c>
      <c r="D653" s="1">
        <f>C653*1.03</f>
        <v>51.5</v>
      </c>
      <c r="E653" s="1">
        <f>D653*1.03</f>
        <v>53.045000000000002</v>
      </c>
      <c r="F653" s="1">
        <f>E653*1.03</f>
        <v>54.63635</v>
      </c>
      <c r="H653" s="43"/>
    </row>
    <row r="655" spans="1:8" x14ac:dyDescent="0.2">
      <c r="A655" s="1" t="s">
        <v>1338</v>
      </c>
    </row>
    <row r="657" spans="1:7" x14ac:dyDescent="0.2">
      <c r="A657" s="1" t="s">
        <v>282</v>
      </c>
    </row>
    <row r="658" spans="1:7" x14ac:dyDescent="0.2">
      <c r="A658" s="1" t="s">
        <v>1339</v>
      </c>
    </row>
    <row r="659" spans="1:7" x14ac:dyDescent="0.2">
      <c r="A659" s="1" t="s">
        <v>1340</v>
      </c>
    </row>
    <row r="661" spans="1:7" x14ac:dyDescent="0.2">
      <c r="A661" s="1" t="s">
        <v>1341</v>
      </c>
    </row>
    <row r="663" spans="1:7" x14ac:dyDescent="0.2">
      <c r="A663" s="4" t="s">
        <v>198</v>
      </c>
    </row>
    <row r="665" spans="1:7" x14ac:dyDescent="0.2">
      <c r="A665" s="1" t="s">
        <v>330</v>
      </c>
    </row>
    <row r="668" spans="1:7" x14ac:dyDescent="0.2">
      <c r="G668" s="1" t="s">
        <v>1342</v>
      </c>
    </row>
    <row r="669" spans="1:7" x14ac:dyDescent="0.2">
      <c r="A669" s="1" t="s">
        <v>919</v>
      </c>
      <c r="C669" s="25">
        <v>2018</v>
      </c>
      <c r="D669" s="25">
        <v>2019</v>
      </c>
      <c r="E669" s="25">
        <v>2020</v>
      </c>
      <c r="F669" s="25">
        <v>2021</v>
      </c>
      <c r="G669" s="25" t="s">
        <v>1343</v>
      </c>
    </row>
    <row r="670" spans="1:7" x14ac:dyDescent="0.2">
      <c r="A670" s="1" t="s">
        <v>1344</v>
      </c>
      <c r="C670" s="1">
        <v>50</v>
      </c>
      <c r="D670" s="1">
        <f>C670*1.03</f>
        <v>51.5</v>
      </c>
      <c r="E670" s="1">
        <f>D670*1.03</f>
        <v>53.045000000000002</v>
      </c>
      <c r="F670" s="1">
        <f>E670*1.03</f>
        <v>54.63635</v>
      </c>
    </row>
    <row r="672" spans="1:7" x14ac:dyDescent="0.2">
      <c r="A672" s="1" t="s">
        <v>1345</v>
      </c>
      <c r="D672" s="116">
        <f>D670/C670-1</f>
        <v>3.0000000000000027E-2</v>
      </c>
      <c r="E672" s="116">
        <f>E670/D670-1</f>
        <v>3.0000000000000027E-2</v>
      </c>
      <c r="F672" s="116">
        <f>F670/E670-1</f>
        <v>3.0000000000000027E-2</v>
      </c>
    </row>
    <row r="676" spans="1:5" x14ac:dyDescent="0.2">
      <c r="B676" s="1" t="s">
        <v>1346</v>
      </c>
      <c r="D676" s="1" t="s">
        <v>1347</v>
      </c>
      <c r="E676" s="1" t="s">
        <v>1348</v>
      </c>
    </row>
    <row r="677" spans="1:5" x14ac:dyDescent="0.2">
      <c r="B677" s="1" t="s">
        <v>1349</v>
      </c>
      <c r="D677" s="1" t="s">
        <v>1350</v>
      </c>
      <c r="E677" s="1" t="s">
        <v>1351</v>
      </c>
    </row>
    <row r="678" spans="1:5" x14ac:dyDescent="0.2">
      <c r="B678" s="1" t="s">
        <v>1352</v>
      </c>
      <c r="D678" s="1" t="s">
        <v>1353</v>
      </c>
    </row>
    <row r="680" spans="1:5" x14ac:dyDescent="0.2">
      <c r="A680" s="1" t="s">
        <v>896</v>
      </c>
      <c r="B680" s="1" t="s">
        <v>1354</v>
      </c>
    </row>
    <row r="681" spans="1:5" x14ac:dyDescent="0.2">
      <c r="B681" s="1" t="s">
        <v>1355</v>
      </c>
    </row>
    <row r="686" spans="1:5" x14ac:dyDescent="0.2">
      <c r="A686" s="4" t="s">
        <v>1356</v>
      </c>
    </row>
    <row r="694" spans="1:8" x14ac:dyDescent="0.2">
      <c r="A694" s="1" t="s">
        <v>1357</v>
      </c>
    </row>
    <row r="695" spans="1:8" x14ac:dyDescent="0.2">
      <c r="A695" s="1" t="s">
        <v>1358</v>
      </c>
    </row>
    <row r="697" spans="1:8" x14ac:dyDescent="0.2">
      <c r="A697" s="51" t="s">
        <v>1359</v>
      </c>
      <c r="B697" s="51"/>
      <c r="C697" s="51"/>
      <c r="D697" s="51"/>
      <c r="E697" s="51"/>
      <c r="F697" s="51"/>
      <c r="G697" s="51"/>
      <c r="H697" s="51"/>
    </row>
    <row r="698" spans="1:8" x14ac:dyDescent="0.2">
      <c r="A698" s="1" t="s">
        <v>1360</v>
      </c>
    </row>
    <row r="699" spans="1:8" x14ac:dyDescent="0.2">
      <c r="A699" s="1" t="s">
        <v>1361</v>
      </c>
    </row>
    <row r="700" spans="1:8" x14ac:dyDescent="0.2">
      <c r="A700" s="1" t="s">
        <v>1362</v>
      </c>
    </row>
    <row r="701" spans="1:8" x14ac:dyDescent="0.2">
      <c r="A701" s="1" t="s">
        <v>282</v>
      </c>
    </row>
    <row r="702" spans="1:8" x14ac:dyDescent="0.2">
      <c r="A702" s="1" t="s">
        <v>1363</v>
      </c>
    </row>
    <row r="703" spans="1:8" x14ac:dyDescent="0.2">
      <c r="A703" s="1" t="s">
        <v>1364</v>
      </c>
    </row>
    <row r="705" spans="1:2" x14ac:dyDescent="0.2">
      <c r="A705" s="4" t="s">
        <v>198</v>
      </c>
    </row>
    <row r="707" spans="1:2" x14ac:dyDescent="0.2">
      <c r="A707" s="1" t="s">
        <v>330</v>
      </c>
    </row>
    <row r="711" spans="1:2" x14ac:dyDescent="0.2">
      <c r="A711" s="1" t="s">
        <v>1365</v>
      </c>
    </row>
    <row r="713" spans="1:2" x14ac:dyDescent="0.2">
      <c r="A713" s="1" t="s">
        <v>1366</v>
      </c>
    </row>
    <row r="714" spans="1:2" x14ac:dyDescent="0.2">
      <c r="A714" s="1" t="s">
        <v>1367</v>
      </c>
    </row>
    <row r="716" spans="1:2" x14ac:dyDescent="0.2">
      <c r="A716" s="1" t="s">
        <v>79</v>
      </c>
    </row>
    <row r="717" spans="1:2" x14ac:dyDescent="0.2">
      <c r="A717" s="1" t="s">
        <v>1002</v>
      </c>
      <c r="B717" s="1" t="s">
        <v>1368</v>
      </c>
    </row>
    <row r="718" spans="1:2" x14ac:dyDescent="0.2">
      <c r="A718" s="1" t="s">
        <v>1004</v>
      </c>
      <c r="B718" s="1" t="s">
        <v>1369</v>
      </c>
    </row>
    <row r="719" spans="1:2" x14ac:dyDescent="0.2">
      <c r="A719" s="1" t="s">
        <v>1370</v>
      </c>
      <c r="B719" s="1" t="s">
        <v>1371</v>
      </c>
    </row>
    <row r="725" spans="1:8" x14ac:dyDescent="0.2">
      <c r="A725" s="51" t="s">
        <v>1372</v>
      </c>
      <c r="B725" s="51"/>
      <c r="C725" s="51"/>
      <c r="D725" s="51"/>
      <c r="E725" s="51"/>
      <c r="F725" s="51"/>
      <c r="G725" s="51"/>
      <c r="H725" s="51"/>
    </row>
    <row r="726" spans="1:8" x14ac:dyDescent="0.2">
      <c r="A726" s="1" t="s">
        <v>1373</v>
      </c>
    </row>
    <row r="727" spans="1:8" x14ac:dyDescent="0.2">
      <c r="A727" s="1" t="s">
        <v>1374</v>
      </c>
    </row>
    <row r="729" spans="1:8" x14ac:dyDescent="0.2">
      <c r="C729" s="25" t="s">
        <v>1375</v>
      </c>
      <c r="D729" s="25" t="s">
        <v>1376</v>
      </c>
      <c r="E729" s="25" t="s">
        <v>1377</v>
      </c>
      <c r="F729" s="163" t="s">
        <v>1378</v>
      </c>
    </row>
    <row r="730" spans="1:8" x14ac:dyDescent="0.2">
      <c r="A730" s="1" t="s">
        <v>1379</v>
      </c>
      <c r="C730" s="1">
        <v>500</v>
      </c>
      <c r="D730" s="1">
        <v>800</v>
      </c>
      <c r="E730" s="1">
        <v>1000</v>
      </c>
      <c r="F730" s="15">
        <v>100</v>
      </c>
    </row>
    <row r="731" spans="1:8" x14ac:dyDescent="0.2">
      <c r="A731" s="1" t="s">
        <v>1380</v>
      </c>
      <c r="C731" s="1">
        <v>1000</v>
      </c>
      <c r="D731" s="1">
        <v>3200</v>
      </c>
      <c r="E731" s="1">
        <v>2000</v>
      </c>
      <c r="F731" s="15">
        <v>1000</v>
      </c>
    </row>
    <row r="732" spans="1:8" x14ac:dyDescent="0.2">
      <c r="A732" s="1" t="s">
        <v>1381</v>
      </c>
      <c r="C732" s="1">
        <v>4</v>
      </c>
      <c r="D732" s="1">
        <v>5</v>
      </c>
      <c r="E732" s="1">
        <v>8</v>
      </c>
      <c r="F732" s="164" t="s">
        <v>53</v>
      </c>
    </row>
    <row r="734" spans="1:8" x14ac:dyDescent="0.2">
      <c r="A734" s="1" t="s">
        <v>1382</v>
      </c>
    </row>
    <row r="737" spans="1:7" x14ac:dyDescent="0.2">
      <c r="A737" s="4" t="s">
        <v>198</v>
      </c>
    </row>
    <row r="739" spans="1:7" x14ac:dyDescent="0.2">
      <c r="A739" s="1" t="s">
        <v>1383</v>
      </c>
    </row>
    <row r="741" spans="1:7" x14ac:dyDescent="0.2">
      <c r="D741" s="25" t="s">
        <v>1375</v>
      </c>
      <c r="E741" s="25" t="s">
        <v>1376</v>
      </c>
      <c r="F741" s="25" t="s">
        <v>1377</v>
      </c>
      <c r="G741" s="133" t="s">
        <v>1378</v>
      </c>
    </row>
    <row r="742" spans="1:7" x14ac:dyDescent="0.2">
      <c r="A742" s="1" t="s">
        <v>1384</v>
      </c>
      <c r="D742" s="1">
        <v>500</v>
      </c>
      <c r="E742" s="1">
        <v>800</v>
      </c>
      <c r="F742" s="1">
        <v>1000</v>
      </c>
      <c r="G742" s="4">
        <v>100</v>
      </c>
    </row>
    <row r="743" spans="1:7" x14ac:dyDescent="0.2">
      <c r="A743" s="1" t="s">
        <v>1385</v>
      </c>
      <c r="D743" s="1">
        <v>1000</v>
      </c>
      <c r="E743" s="1">
        <v>3200</v>
      </c>
      <c r="F743" s="1">
        <v>2000</v>
      </c>
      <c r="G743" s="4">
        <v>1000</v>
      </c>
    </row>
    <row r="744" spans="1:7" x14ac:dyDescent="0.2">
      <c r="A744" s="1" t="s">
        <v>1386</v>
      </c>
      <c r="C744" s="165" t="s">
        <v>548</v>
      </c>
      <c r="D744" s="1">
        <v>4</v>
      </c>
      <c r="E744" s="1">
        <v>5</v>
      </c>
      <c r="F744" s="1">
        <v>8</v>
      </c>
      <c r="G744" s="166" t="s">
        <v>53</v>
      </c>
    </row>
    <row r="745" spans="1:7" x14ac:dyDescent="0.2">
      <c r="F745" s="4"/>
    </row>
    <row r="746" spans="1:7" x14ac:dyDescent="0.2">
      <c r="A746" s="604" t="s">
        <v>1387</v>
      </c>
      <c r="B746" s="604"/>
      <c r="C746" s="604"/>
      <c r="D746" s="8">
        <f>D742/D743</f>
        <v>0.5</v>
      </c>
      <c r="E746" s="8">
        <f>E742/E743</f>
        <v>0.25</v>
      </c>
      <c r="F746" s="8">
        <f>F742/F743</f>
        <v>0.5</v>
      </c>
      <c r="G746" s="8">
        <f>G742/G743</f>
        <v>0.1</v>
      </c>
    </row>
    <row r="747" spans="1:7" x14ac:dyDescent="0.2">
      <c r="C747" s="7"/>
      <c r="D747" s="7"/>
      <c r="E747" s="7"/>
      <c r="F747" s="7"/>
    </row>
    <row r="748" spans="1:7" x14ac:dyDescent="0.2">
      <c r="A748" s="1" t="s">
        <v>1388</v>
      </c>
      <c r="C748" s="8" t="s">
        <v>1389</v>
      </c>
      <c r="D748" s="8">
        <f>D744/D746</f>
        <v>8</v>
      </c>
      <c r="E748" s="8">
        <f>E744/E746</f>
        <v>20</v>
      </c>
      <c r="F748" s="8">
        <f>F744/F746</f>
        <v>16</v>
      </c>
      <c r="G748" s="8"/>
    </row>
    <row r="749" spans="1:7" x14ac:dyDescent="0.2">
      <c r="C749" s="7"/>
      <c r="D749" s="7"/>
      <c r="E749" s="7"/>
      <c r="F749" s="7"/>
    </row>
    <row r="750" spans="1:7" x14ac:dyDescent="0.2">
      <c r="A750" s="1" t="s">
        <v>1390</v>
      </c>
      <c r="C750" s="86">
        <f>AVERAGE(C748:E748)</f>
        <v>14</v>
      </c>
      <c r="D750" s="123">
        <f>AVERAGE(D748:F748)</f>
        <v>14.666666666666666</v>
      </c>
      <c r="E750" s="7"/>
      <c r="F750" s="7"/>
    </row>
    <row r="752" spans="1:7" x14ac:dyDescent="0.2">
      <c r="A752" s="4" t="s">
        <v>1391</v>
      </c>
    </row>
    <row r="753" spans="1:8" x14ac:dyDescent="0.2">
      <c r="F753" s="167">
        <f>G746*D750</f>
        <v>1.4666666666666668</v>
      </c>
      <c r="H753" s="1" t="s">
        <v>1392</v>
      </c>
    </row>
    <row r="760" spans="1:8" x14ac:dyDescent="0.2">
      <c r="A760" s="51" t="s">
        <v>1393</v>
      </c>
      <c r="B760" s="51"/>
      <c r="C760" s="51"/>
      <c r="D760" s="51"/>
      <c r="E760" s="51"/>
      <c r="F760" s="51"/>
      <c r="G760" s="51" t="s">
        <v>225</v>
      </c>
      <c r="H760" s="51"/>
    </row>
    <row r="761" spans="1:8" x14ac:dyDescent="0.2">
      <c r="A761" s="1" t="s">
        <v>1394</v>
      </c>
    </row>
    <row r="763" spans="1:8" x14ac:dyDescent="0.2">
      <c r="B763" s="1" t="s">
        <v>1395</v>
      </c>
      <c r="C763" s="1" t="s">
        <v>936</v>
      </c>
      <c r="D763" s="1" t="s">
        <v>1396</v>
      </c>
    </row>
    <row r="764" spans="1:8" x14ac:dyDescent="0.2">
      <c r="B764" s="1">
        <v>1</v>
      </c>
      <c r="C764" s="2">
        <v>3</v>
      </c>
    </row>
    <row r="765" spans="1:8" x14ac:dyDescent="0.2">
      <c r="B765" s="1">
        <v>2</v>
      </c>
      <c r="C765" s="2">
        <v>3</v>
      </c>
    </row>
    <row r="766" spans="1:8" ht="17" thickBot="1" x14ac:dyDescent="0.25">
      <c r="B766" s="1">
        <v>3</v>
      </c>
      <c r="C766" s="2">
        <v>3</v>
      </c>
    </row>
    <row r="767" spans="1:8" ht="17" thickBot="1" x14ac:dyDescent="0.25">
      <c r="B767" s="1">
        <v>4</v>
      </c>
      <c r="C767" s="2">
        <v>3</v>
      </c>
      <c r="D767" s="168">
        <f>SUM(C764:C767)</f>
        <v>12</v>
      </c>
    </row>
    <row r="768" spans="1:8" x14ac:dyDescent="0.2">
      <c r="B768" s="1">
        <v>5</v>
      </c>
      <c r="C768" s="6">
        <v>3.15</v>
      </c>
    </row>
    <row r="769" spans="1:4" x14ac:dyDescent="0.2">
      <c r="B769" s="1">
        <v>6</v>
      </c>
      <c r="C769" s="6">
        <v>3.15</v>
      </c>
    </row>
    <row r="770" spans="1:4" x14ac:dyDescent="0.2">
      <c r="B770" s="1">
        <v>7</v>
      </c>
      <c r="C770" s="6">
        <v>3.15</v>
      </c>
    </row>
    <row r="771" spans="1:4" x14ac:dyDescent="0.2">
      <c r="B771" s="1">
        <v>8</v>
      </c>
      <c r="C771" s="6">
        <v>3.15</v>
      </c>
      <c r="D771" s="6">
        <f>SUM(C768:C771)</f>
        <v>12.6</v>
      </c>
    </row>
    <row r="772" spans="1:4" x14ac:dyDescent="0.2">
      <c r="B772" s="1">
        <v>9</v>
      </c>
      <c r="C772" s="152">
        <v>3.3075000000000001</v>
      </c>
    </row>
    <row r="773" spans="1:4" x14ac:dyDescent="0.2">
      <c r="B773" s="1">
        <v>10</v>
      </c>
      <c r="C773" s="152">
        <v>3.3075000000000001</v>
      </c>
    </row>
    <row r="774" spans="1:4" x14ac:dyDescent="0.2">
      <c r="B774" s="1">
        <v>11</v>
      </c>
      <c r="C774" s="152">
        <v>3.3075000000000001</v>
      </c>
    </row>
    <row r="775" spans="1:4" x14ac:dyDescent="0.2">
      <c r="B775" s="1">
        <v>12</v>
      </c>
      <c r="C775" s="152">
        <v>3.3075000000000001</v>
      </c>
      <c r="D775" s="152">
        <f>SUM(C772:C775)</f>
        <v>13.23</v>
      </c>
    </row>
    <row r="776" spans="1:4" x14ac:dyDescent="0.2">
      <c r="B776" s="1">
        <v>13</v>
      </c>
      <c r="C776" s="38">
        <v>3.4728750000000002</v>
      </c>
    </row>
    <row r="777" spans="1:4" x14ac:dyDescent="0.2">
      <c r="B777" s="1">
        <v>14</v>
      </c>
      <c r="C777" s="38">
        <f>C776</f>
        <v>3.4728750000000002</v>
      </c>
    </row>
    <row r="778" spans="1:4" ht="17" thickBot="1" x14ac:dyDescent="0.25">
      <c r="B778" s="1">
        <v>15</v>
      </c>
      <c r="C778" s="38">
        <f>C777</f>
        <v>3.4728750000000002</v>
      </c>
    </row>
    <row r="779" spans="1:4" ht="17" thickBot="1" x14ac:dyDescent="0.25">
      <c r="B779" s="1">
        <v>16</v>
      </c>
      <c r="C779" s="38">
        <f>C778</f>
        <v>3.4728750000000002</v>
      </c>
      <c r="D779" s="169">
        <f>SUM(C776:C779)</f>
        <v>13.891500000000001</v>
      </c>
    </row>
    <row r="781" spans="1:4" x14ac:dyDescent="0.2">
      <c r="A781" s="1" t="s">
        <v>282</v>
      </c>
    </row>
    <row r="782" spans="1:4" x14ac:dyDescent="0.2">
      <c r="A782" s="1" t="s">
        <v>1397</v>
      </c>
    </row>
    <row r="783" spans="1:4" x14ac:dyDescent="0.2">
      <c r="A783" s="1" t="s">
        <v>1398</v>
      </c>
    </row>
    <row r="784" spans="1:4" x14ac:dyDescent="0.2">
      <c r="A784" s="1" t="s">
        <v>1399</v>
      </c>
    </row>
    <row r="785" spans="1:1" x14ac:dyDescent="0.2">
      <c r="A785" s="1" t="s">
        <v>1400</v>
      </c>
    </row>
    <row r="786" spans="1:1" x14ac:dyDescent="0.2">
      <c r="A786" s="1" t="s">
        <v>1401</v>
      </c>
    </row>
    <row r="787" spans="1:1" x14ac:dyDescent="0.2">
      <c r="A787" s="1" t="s">
        <v>1402</v>
      </c>
    </row>
    <row r="788" spans="1:1" x14ac:dyDescent="0.2">
      <c r="A788" s="4" t="s">
        <v>1403</v>
      </c>
    </row>
    <row r="791" spans="1:1" x14ac:dyDescent="0.2">
      <c r="A791" s="4" t="s">
        <v>198</v>
      </c>
    </row>
    <row r="793" spans="1:1" x14ac:dyDescent="0.2">
      <c r="A793" s="4" t="s">
        <v>330</v>
      </c>
    </row>
    <row r="794" spans="1:1" x14ac:dyDescent="0.2">
      <c r="A794" s="1" t="s">
        <v>1404</v>
      </c>
    </row>
    <row r="795" spans="1:1" x14ac:dyDescent="0.2">
      <c r="A795" s="1" t="s">
        <v>1405</v>
      </c>
    </row>
    <row r="798" spans="1:1" x14ac:dyDescent="0.2">
      <c r="A798" s="1" t="s">
        <v>1406</v>
      </c>
    </row>
    <row r="802" spans="1:1" x14ac:dyDescent="0.2">
      <c r="A802" s="4" t="s">
        <v>1365</v>
      </c>
    </row>
    <row r="803" spans="1:1" x14ac:dyDescent="0.2">
      <c r="A803" s="1" t="s">
        <v>1407</v>
      </c>
    </row>
    <row r="807" spans="1:1" x14ac:dyDescent="0.2">
      <c r="A807" s="4" t="s">
        <v>1285</v>
      </c>
    </row>
    <row r="808" spans="1:1" x14ac:dyDescent="0.2">
      <c r="A808" s="1" t="s">
        <v>1408</v>
      </c>
    </row>
  </sheetData>
  <mergeCells count="3">
    <mergeCell ref="A746:C746"/>
    <mergeCell ref="A390:H390"/>
    <mergeCell ref="A391:H391"/>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F6CBD-DEC1-8C4C-9834-8474A3C8873A}">
  <dimension ref="A1:L1172"/>
  <sheetViews>
    <sheetView showGridLines="0" rightToLeft="1" zoomScale="400" zoomScaleNormal="380" workbookViewId="0">
      <selection activeCell="D1086" sqref="D1086"/>
    </sheetView>
  </sheetViews>
  <sheetFormatPr baseColWidth="10" defaultColWidth="10.83203125" defaultRowHeight="16" x14ac:dyDescent="0.2"/>
  <cols>
    <col min="1" max="1" width="11.6640625" style="283" bestFit="1" customWidth="1"/>
    <col min="2" max="3" width="10.83203125" style="1"/>
    <col min="4" max="4" width="13.5" style="1" bestFit="1" customWidth="1"/>
    <col min="5" max="5" width="13.5" style="1" customWidth="1"/>
    <col min="6" max="8" width="10.83203125" style="1"/>
    <col min="9" max="9" width="10.83203125" style="1" customWidth="1"/>
    <col min="10" max="16384" width="10.83203125" style="1"/>
  </cols>
  <sheetData>
    <row r="1" spans="1:8" x14ac:dyDescent="0.2">
      <c r="A1" s="281" t="s">
        <v>1409</v>
      </c>
      <c r="B1" s="2"/>
      <c r="C1" s="2"/>
      <c r="D1" s="2"/>
      <c r="E1" s="2"/>
      <c r="F1" s="2"/>
      <c r="G1" s="2"/>
      <c r="H1" s="46">
        <v>45649</v>
      </c>
    </row>
    <row r="2" spans="1:8" ht="17" thickBot="1" x14ac:dyDescent="0.25"/>
    <row r="3" spans="1:8" x14ac:dyDescent="0.2">
      <c r="A3" s="296" t="s">
        <v>2988</v>
      </c>
      <c r="B3" s="17"/>
      <c r="C3" s="17"/>
      <c r="D3" s="17"/>
      <c r="E3" s="17"/>
      <c r="F3" s="17"/>
      <c r="G3" s="17"/>
      <c r="H3" s="18"/>
    </row>
    <row r="4" spans="1:8" x14ac:dyDescent="0.2">
      <c r="A4" s="297" t="s">
        <v>2989</v>
      </c>
      <c r="B4" s="4"/>
      <c r="C4" s="4"/>
      <c r="D4" s="4"/>
      <c r="E4" s="4"/>
      <c r="F4" s="4"/>
      <c r="G4" s="4"/>
      <c r="H4" s="249"/>
    </row>
    <row r="5" spans="1:8" x14ac:dyDescent="0.2">
      <c r="A5" s="297" t="s">
        <v>2990</v>
      </c>
      <c r="B5" s="4"/>
      <c r="C5" s="4"/>
      <c r="D5" s="4"/>
      <c r="E5" s="4"/>
      <c r="F5" s="4"/>
      <c r="G5" s="4"/>
      <c r="H5" s="249"/>
    </row>
    <row r="6" spans="1:8" x14ac:dyDescent="0.2">
      <c r="A6" s="297" t="s">
        <v>2991</v>
      </c>
      <c r="B6" s="4"/>
      <c r="C6" s="4"/>
      <c r="D6" s="4"/>
      <c r="E6" s="4"/>
      <c r="F6" s="4"/>
      <c r="G6" s="4"/>
      <c r="H6" s="249"/>
    </row>
    <row r="7" spans="1:8" ht="17" thickBot="1" x14ac:dyDescent="0.25">
      <c r="A7" s="298" t="s">
        <v>2992</v>
      </c>
      <c r="B7" s="128"/>
      <c r="C7" s="128"/>
      <c r="D7" s="128"/>
      <c r="E7" s="128"/>
      <c r="F7" s="128"/>
      <c r="G7" s="128"/>
      <c r="H7" s="250"/>
    </row>
    <row r="9" spans="1:8" x14ac:dyDescent="0.2">
      <c r="A9" s="611" t="s">
        <v>3656</v>
      </c>
      <c r="B9" s="611"/>
      <c r="C9" s="611"/>
      <c r="D9" s="611"/>
      <c r="E9" s="611"/>
      <c r="F9" s="611"/>
      <c r="G9" s="611"/>
    </row>
    <row r="11" spans="1:8" x14ac:dyDescent="0.2">
      <c r="A11" s="282" t="s">
        <v>378</v>
      </c>
    </row>
    <row r="12" spans="1:8" x14ac:dyDescent="0.2">
      <c r="A12" s="283" t="s">
        <v>1410</v>
      </c>
    </row>
    <row r="13" spans="1:8" x14ac:dyDescent="0.2">
      <c r="A13" s="283" t="s">
        <v>1411</v>
      </c>
    </row>
    <row r="14" spans="1:8" x14ac:dyDescent="0.2">
      <c r="A14" s="283" t="s">
        <v>1412</v>
      </c>
    </row>
    <row r="15" spans="1:8" x14ac:dyDescent="0.2">
      <c r="A15" s="283" t="s">
        <v>1413</v>
      </c>
    </row>
    <row r="16" spans="1:8" x14ac:dyDescent="0.2">
      <c r="A16" s="283" t="s">
        <v>1414</v>
      </c>
    </row>
    <row r="17" spans="1:9" x14ac:dyDescent="0.2">
      <c r="A17" s="283" t="s">
        <v>1415</v>
      </c>
    </row>
    <row r="18" spans="1:9" x14ac:dyDescent="0.2">
      <c r="A18" s="283" t="s">
        <v>1416</v>
      </c>
    </row>
    <row r="19" spans="1:9" x14ac:dyDescent="0.2">
      <c r="A19" s="283" t="s">
        <v>1417</v>
      </c>
    </row>
    <row r="20" spans="1:9" x14ac:dyDescent="0.2">
      <c r="A20" s="283" t="s">
        <v>1418</v>
      </c>
    </row>
    <row r="21" spans="1:9" x14ac:dyDescent="0.2">
      <c r="A21" s="283" t="s">
        <v>3023</v>
      </c>
    </row>
    <row r="23" spans="1:9" x14ac:dyDescent="0.2">
      <c r="A23" s="283" t="s">
        <v>3024</v>
      </c>
      <c r="E23" s="1" t="s">
        <v>3014</v>
      </c>
      <c r="H23" s="1" t="s">
        <v>3015</v>
      </c>
      <c r="I23" s="1" t="s">
        <v>3022</v>
      </c>
    </row>
    <row r="24" spans="1:9" x14ac:dyDescent="0.2">
      <c r="H24" s="1" t="s">
        <v>3016</v>
      </c>
      <c r="I24" s="1" t="s">
        <v>3021</v>
      </c>
    </row>
    <row r="25" spans="1:9" x14ac:dyDescent="0.2">
      <c r="A25" s="282" t="s">
        <v>1419</v>
      </c>
      <c r="H25" s="1" t="s">
        <v>3017</v>
      </c>
      <c r="I25" s="1" t="s">
        <v>3019</v>
      </c>
    </row>
    <row r="26" spans="1:9" x14ac:dyDescent="0.2">
      <c r="A26" s="283" t="s">
        <v>3657</v>
      </c>
      <c r="H26" s="1" t="s">
        <v>3018</v>
      </c>
      <c r="I26" s="1" t="s">
        <v>3020</v>
      </c>
    </row>
    <row r="30" spans="1:9" x14ac:dyDescent="0.2">
      <c r="A30" s="283" t="s">
        <v>79</v>
      </c>
    </row>
    <row r="31" spans="1:9" x14ac:dyDescent="0.2">
      <c r="B31" s="37" t="s">
        <v>1421</v>
      </c>
      <c r="C31" s="1" t="s">
        <v>1001</v>
      </c>
    </row>
    <row r="32" spans="1:9" x14ac:dyDescent="0.2">
      <c r="B32" s="37" t="s">
        <v>1002</v>
      </c>
      <c r="C32" s="1" t="s">
        <v>1003</v>
      </c>
    </row>
    <row r="33" spans="1:3" x14ac:dyDescent="0.2">
      <c r="B33" s="37" t="s">
        <v>1004</v>
      </c>
      <c r="C33" s="1" t="s">
        <v>1005</v>
      </c>
    </row>
    <row r="34" spans="1:3" x14ac:dyDescent="0.2">
      <c r="B34" s="37" t="s">
        <v>1422</v>
      </c>
      <c r="C34" s="1" t="s">
        <v>1423</v>
      </c>
    </row>
    <row r="35" spans="1:3" x14ac:dyDescent="0.2">
      <c r="B35" s="170" t="s">
        <v>1006</v>
      </c>
      <c r="C35" s="1" t="s">
        <v>1424</v>
      </c>
    </row>
    <row r="37" spans="1:3" x14ac:dyDescent="0.2">
      <c r="A37" s="283" t="s">
        <v>1425</v>
      </c>
    </row>
    <row r="41" spans="1:3" x14ac:dyDescent="0.2">
      <c r="A41" s="283" t="s">
        <v>79</v>
      </c>
    </row>
    <row r="42" spans="1:3" x14ac:dyDescent="0.2">
      <c r="B42" s="37" t="s">
        <v>1426</v>
      </c>
      <c r="C42" s="1" t="s">
        <v>15</v>
      </c>
    </row>
    <row r="43" spans="1:3" x14ac:dyDescent="0.2">
      <c r="B43" s="37" t="s">
        <v>1427</v>
      </c>
      <c r="C43" s="1" t="s">
        <v>1428</v>
      </c>
    </row>
    <row r="44" spans="1:3" x14ac:dyDescent="0.2">
      <c r="B44" s="37" t="s">
        <v>1429</v>
      </c>
      <c r="C44" s="1" t="s">
        <v>1430</v>
      </c>
    </row>
    <row r="45" spans="1:3" x14ac:dyDescent="0.2">
      <c r="B45" s="37" t="s">
        <v>1083</v>
      </c>
      <c r="C45" s="1" t="s">
        <v>1431</v>
      </c>
    </row>
    <row r="46" spans="1:3" x14ac:dyDescent="0.2">
      <c r="B46" s="37" t="s">
        <v>1084</v>
      </c>
      <c r="C46" s="1" t="s">
        <v>1432</v>
      </c>
    </row>
    <row r="47" spans="1:3" x14ac:dyDescent="0.2">
      <c r="B47" s="37" t="s">
        <v>1433</v>
      </c>
      <c r="C47" s="1" t="s">
        <v>1434</v>
      </c>
    </row>
    <row r="48" spans="1:3" x14ac:dyDescent="0.2">
      <c r="B48" s="37" t="s">
        <v>1435</v>
      </c>
      <c r="C48" s="1" t="s">
        <v>1436</v>
      </c>
    </row>
    <row r="50" spans="1:8" x14ac:dyDescent="0.2">
      <c r="A50" s="283" t="s">
        <v>1437</v>
      </c>
    </row>
    <row r="51" spans="1:8" x14ac:dyDescent="0.2">
      <c r="A51" s="284" t="s">
        <v>896</v>
      </c>
      <c r="B51" s="1" t="s">
        <v>1438</v>
      </c>
    </row>
    <row r="52" spans="1:8" x14ac:dyDescent="0.2">
      <c r="A52" s="284"/>
      <c r="B52" s="1" t="s">
        <v>1439</v>
      </c>
      <c r="F52" s="1" t="s">
        <v>1440</v>
      </c>
    </row>
    <row r="53" spans="1:8" x14ac:dyDescent="0.2">
      <c r="A53" s="284"/>
      <c r="B53" s="1" t="s">
        <v>1441</v>
      </c>
    </row>
    <row r="54" spans="1:8" x14ac:dyDescent="0.2">
      <c r="A54" s="284"/>
    </row>
    <row r="55" spans="1:8" x14ac:dyDescent="0.2">
      <c r="A55" s="284" t="s">
        <v>1442</v>
      </c>
      <c r="B55" s="1" t="s">
        <v>1443</v>
      </c>
    </row>
    <row r="56" spans="1:8" x14ac:dyDescent="0.2">
      <c r="B56" s="1" t="s">
        <v>1444</v>
      </c>
    </row>
    <row r="62" spans="1:8" x14ac:dyDescent="0.2">
      <c r="A62" s="285" t="s">
        <v>1445</v>
      </c>
      <c r="B62" s="152"/>
      <c r="C62" s="152"/>
      <c r="D62" s="152"/>
      <c r="E62" s="152"/>
      <c r="F62" s="152"/>
      <c r="G62" s="152"/>
      <c r="H62" s="152"/>
    </row>
    <row r="63" spans="1:8" x14ac:dyDescent="0.2">
      <c r="A63" s="283" t="s">
        <v>1446</v>
      </c>
    </row>
    <row r="64" spans="1:8" x14ac:dyDescent="0.2">
      <c r="A64" s="283" t="s">
        <v>3027</v>
      </c>
    </row>
    <row r="65" spans="1:8" x14ac:dyDescent="0.2">
      <c r="A65" s="283" t="s">
        <v>1447</v>
      </c>
    </row>
    <row r="67" spans="1:8" x14ac:dyDescent="0.2">
      <c r="B67" s="25" t="s">
        <v>1448</v>
      </c>
      <c r="C67" s="39" t="s">
        <v>1449</v>
      </c>
    </row>
    <row r="68" spans="1:8" x14ac:dyDescent="0.2">
      <c r="B68" s="1" t="s">
        <v>1450</v>
      </c>
      <c r="C68" s="37">
        <v>3.1</v>
      </c>
    </row>
    <row r="69" spans="1:8" x14ac:dyDescent="0.2">
      <c r="B69" s="1" t="s">
        <v>1451</v>
      </c>
      <c r="C69" s="37">
        <v>4.2</v>
      </c>
    </row>
    <row r="70" spans="1:8" x14ac:dyDescent="0.2">
      <c r="B70" s="1" t="s">
        <v>1452</v>
      </c>
      <c r="C70" s="37">
        <v>2.9</v>
      </c>
    </row>
    <row r="71" spans="1:8" x14ac:dyDescent="0.2">
      <c r="B71" s="1" t="s">
        <v>1453</v>
      </c>
      <c r="C71" s="37">
        <v>3.5</v>
      </c>
    </row>
    <row r="72" spans="1:8" x14ac:dyDescent="0.2">
      <c r="B72" s="1" t="s">
        <v>1454</v>
      </c>
      <c r="C72" s="37">
        <v>3.3</v>
      </c>
    </row>
    <row r="74" spans="1:8" x14ac:dyDescent="0.2">
      <c r="A74" s="283" t="s">
        <v>1455</v>
      </c>
    </row>
    <row r="75" spans="1:8" x14ac:dyDescent="0.2">
      <c r="A75" s="283" t="s">
        <v>1456</v>
      </c>
    </row>
    <row r="77" spans="1:8" x14ac:dyDescent="0.2">
      <c r="A77" s="283" t="s">
        <v>282</v>
      </c>
    </row>
    <row r="78" spans="1:8" x14ac:dyDescent="0.2">
      <c r="A78" s="283" t="s">
        <v>1457</v>
      </c>
    </row>
    <row r="79" spans="1:8" ht="17" thickBot="1" x14ac:dyDescent="0.25"/>
    <row r="80" spans="1:8" ht="17" thickBot="1" x14ac:dyDescent="0.25">
      <c r="A80" s="286" t="s">
        <v>198</v>
      </c>
      <c r="B80" s="150"/>
      <c r="C80" s="150"/>
      <c r="D80" s="150"/>
      <c r="E80" s="150"/>
      <c r="F80" s="150"/>
      <c r="G80" s="150"/>
      <c r="H80" s="151"/>
    </row>
    <row r="82" spans="1:6" x14ac:dyDescent="0.2">
      <c r="A82" s="282" t="s">
        <v>1458</v>
      </c>
    </row>
    <row r="83" spans="1:6" x14ac:dyDescent="0.2">
      <c r="A83" s="283" t="s">
        <v>3025</v>
      </c>
    </row>
    <row r="84" spans="1:6" x14ac:dyDescent="0.2">
      <c r="A84" s="283" t="s">
        <v>3026</v>
      </c>
    </row>
    <row r="85" spans="1:6" x14ac:dyDescent="0.2">
      <c r="A85" s="283" t="s">
        <v>1459</v>
      </c>
    </row>
    <row r="86" spans="1:6" x14ac:dyDescent="0.2">
      <c r="A86" s="283" t="s">
        <v>1460</v>
      </c>
    </row>
    <row r="88" spans="1:6" x14ac:dyDescent="0.2">
      <c r="A88" s="282" t="s">
        <v>1461</v>
      </c>
    </row>
    <row r="90" spans="1:6" x14ac:dyDescent="0.2">
      <c r="A90" s="283" t="s">
        <v>1462</v>
      </c>
    </row>
    <row r="91" spans="1:6" x14ac:dyDescent="0.2">
      <c r="A91" s="283" t="s">
        <v>1463</v>
      </c>
    </row>
    <row r="93" spans="1:6" x14ac:dyDescent="0.2">
      <c r="E93" s="1" t="s">
        <v>1464</v>
      </c>
      <c r="F93" s="37" t="s">
        <v>1465</v>
      </c>
    </row>
    <row r="95" spans="1:6" x14ac:dyDescent="0.2">
      <c r="A95" s="283" t="s">
        <v>1466</v>
      </c>
    </row>
    <row r="96" spans="1:6" x14ac:dyDescent="0.2">
      <c r="A96" s="283" t="s">
        <v>1467</v>
      </c>
    </row>
    <row r="97" spans="1:6" x14ac:dyDescent="0.2">
      <c r="A97" s="283" t="s">
        <v>1468</v>
      </c>
    </row>
    <row r="98" spans="1:6" x14ac:dyDescent="0.2">
      <c r="A98" s="283" t="s">
        <v>1469</v>
      </c>
    </row>
    <row r="100" spans="1:6" x14ac:dyDescent="0.2">
      <c r="C100" s="1" t="s">
        <v>1448</v>
      </c>
      <c r="D100" s="1" t="s">
        <v>1449</v>
      </c>
    </row>
    <row r="101" spans="1:6" x14ac:dyDescent="0.2">
      <c r="C101" s="1" t="s">
        <v>1450</v>
      </c>
      <c r="D101" s="1">
        <v>3.1</v>
      </c>
    </row>
    <row r="102" spans="1:6" x14ac:dyDescent="0.2">
      <c r="C102" s="1" t="s">
        <v>1451</v>
      </c>
      <c r="D102" s="1">
        <v>4.2</v>
      </c>
    </row>
    <row r="103" spans="1:6" x14ac:dyDescent="0.2">
      <c r="C103" s="1" t="s">
        <v>1452</v>
      </c>
      <c r="D103" s="1">
        <v>2.9</v>
      </c>
    </row>
    <row r="104" spans="1:6" x14ac:dyDescent="0.2">
      <c r="C104" s="1" t="s">
        <v>1453</v>
      </c>
      <c r="D104" s="1">
        <v>3.5</v>
      </c>
    </row>
    <row r="105" spans="1:6" x14ac:dyDescent="0.2">
      <c r="C105" s="1" t="s">
        <v>1454</v>
      </c>
      <c r="D105" s="1">
        <v>3.3</v>
      </c>
    </row>
    <row r="107" spans="1:6" x14ac:dyDescent="0.2">
      <c r="A107" s="283" t="s">
        <v>1470</v>
      </c>
      <c r="D107" s="2">
        <f>AVERAGE(D101:D105)</f>
        <v>3.4</v>
      </c>
    </row>
    <row r="108" spans="1:6" x14ac:dyDescent="0.2">
      <c r="A108" s="283" t="s">
        <v>1471</v>
      </c>
    </row>
    <row r="109" spans="1:6" x14ac:dyDescent="0.2">
      <c r="A109" s="283" t="s">
        <v>1472</v>
      </c>
    </row>
    <row r="111" spans="1:6" x14ac:dyDescent="0.2">
      <c r="A111" s="283" t="s">
        <v>1473</v>
      </c>
    </row>
    <row r="112" spans="1:6" x14ac:dyDescent="0.2">
      <c r="E112" s="1" t="s">
        <v>3028</v>
      </c>
      <c r="F112" s="37" t="s">
        <v>1465</v>
      </c>
    </row>
    <row r="113" spans="1:8" x14ac:dyDescent="0.2">
      <c r="A113" s="282" t="s">
        <v>245</v>
      </c>
      <c r="C113" s="271">
        <f>5%+10%*3.4</f>
        <v>0.39</v>
      </c>
      <c r="E113" s="1" t="s">
        <v>1474</v>
      </c>
    </row>
    <row r="115" spans="1:8" x14ac:dyDescent="0.2">
      <c r="A115" s="283" t="s">
        <v>1475</v>
      </c>
    </row>
    <row r="116" spans="1:8" x14ac:dyDescent="0.2">
      <c r="C116" s="37" t="s">
        <v>1427</v>
      </c>
      <c r="D116" s="1" t="s">
        <v>1476</v>
      </c>
    </row>
    <row r="117" spans="1:8" x14ac:dyDescent="0.2">
      <c r="C117" s="37" t="s">
        <v>1002</v>
      </c>
      <c r="D117" s="1" t="s">
        <v>1477</v>
      </c>
    </row>
    <row r="118" spans="1:8" x14ac:dyDescent="0.2">
      <c r="C118" s="342" t="s">
        <v>1478</v>
      </c>
      <c r="D118" s="1" t="s">
        <v>1479</v>
      </c>
    </row>
    <row r="119" spans="1:8" x14ac:dyDescent="0.2">
      <c r="C119" s="37" t="s">
        <v>1006</v>
      </c>
      <c r="D119" s="1" t="s">
        <v>1480</v>
      </c>
    </row>
    <row r="120" spans="1:8" x14ac:dyDescent="0.2">
      <c r="C120" s="37"/>
    </row>
    <row r="121" spans="1:8" x14ac:dyDescent="0.2">
      <c r="A121" s="282" t="s">
        <v>1481</v>
      </c>
      <c r="C121" s="37"/>
    </row>
    <row r="122" spans="1:8" x14ac:dyDescent="0.2">
      <c r="A122" s="282" t="s">
        <v>1482</v>
      </c>
      <c r="C122" s="37"/>
    </row>
    <row r="123" spans="1:8" ht="17" thickBot="1" x14ac:dyDescent="0.25">
      <c r="C123" s="37"/>
    </row>
    <row r="124" spans="1:8" x14ac:dyDescent="0.2">
      <c r="A124" s="535" t="s">
        <v>3658</v>
      </c>
      <c r="B124" s="17"/>
      <c r="C124" s="67"/>
      <c r="D124" s="17"/>
      <c r="E124" s="17"/>
      <c r="F124" s="17"/>
      <c r="G124" s="17"/>
      <c r="H124" s="18"/>
    </row>
    <row r="125" spans="1:8" x14ac:dyDescent="0.2">
      <c r="A125" s="536" t="s">
        <v>3659</v>
      </c>
      <c r="C125" s="37"/>
      <c r="H125" s="20"/>
    </row>
    <row r="126" spans="1:8" ht="17" thickBot="1" x14ac:dyDescent="0.25">
      <c r="A126" s="537" t="s">
        <v>3660</v>
      </c>
      <c r="B126" s="22"/>
      <c r="C126" s="68"/>
      <c r="D126" s="22"/>
      <c r="E126" s="22"/>
      <c r="F126" s="22"/>
      <c r="G126" s="22"/>
      <c r="H126" s="23"/>
    </row>
    <row r="127" spans="1:8" x14ac:dyDescent="0.2">
      <c r="C127" s="37"/>
    </row>
    <row r="128" spans="1:8" x14ac:dyDescent="0.2">
      <c r="C128" s="37"/>
    </row>
    <row r="129" spans="1:8" x14ac:dyDescent="0.2">
      <c r="C129" s="37"/>
    </row>
    <row r="131" spans="1:8" x14ac:dyDescent="0.2">
      <c r="A131" s="285" t="s">
        <v>1483</v>
      </c>
      <c r="B131" s="152"/>
      <c r="C131" s="152"/>
      <c r="D131" s="152"/>
      <c r="E131" s="152"/>
      <c r="F131" s="152"/>
      <c r="G131" s="152"/>
      <c r="H131" s="152"/>
    </row>
    <row r="132" spans="1:8" x14ac:dyDescent="0.2">
      <c r="A132" s="283" t="s">
        <v>1484</v>
      </c>
    </row>
    <row r="133" spans="1:8" x14ac:dyDescent="0.2">
      <c r="A133" s="283" t="s">
        <v>1485</v>
      </c>
    </row>
    <row r="134" spans="1:8" x14ac:dyDescent="0.2">
      <c r="A134" s="283" t="s">
        <v>1486</v>
      </c>
    </row>
    <row r="135" spans="1:8" x14ac:dyDescent="0.2">
      <c r="A135" s="283" t="s">
        <v>3029</v>
      </c>
    </row>
    <row r="136" spans="1:8" x14ac:dyDescent="0.2">
      <c r="A136" s="283" t="s">
        <v>1487</v>
      </c>
    </row>
    <row r="137" spans="1:8" x14ac:dyDescent="0.2">
      <c r="A137" s="283" t="s">
        <v>1488</v>
      </c>
    </row>
    <row r="139" spans="1:8" x14ac:dyDescent="0.2">
      <c r="A139" s="283" t="s">
        <v>1489</v>
      </c>
    </row>
    <row r="140" spans="1:8" ht="17" thickBot="1" x14ac:dyDescent="0.25"/>
    <row r="141" spans="1:8" ht="17" thickBot="1" x14ac:dyDescent="0.25">
      <c r="A141" s="286" t="s">
        <v>198</v>
      </c>
      <c r="B141" s="150"/>
      <c r="C141" s="150"/>
      <c r="D141" s="150"/>
      <c r="E141" s="150"/>
      <c r="F141" s="150"/>
      <c r="G141" s="150"/>
      <c r="H141" s="151"/>
    </row>
    <row r="143" spans="1:8" x14ac:dyDescent="0.2">
      <c r="A143" s="282" t="s">
        <v>1458</v>
      </c>
    </row>
    <row r="144" spans="1:8" x14ac:dyDescent="0.2">
      <c r="A144" s="283" t="s">
        <v>1490</v>
      </c>
    </row>
    <row r="145" spans="1:8" x14ac:dyDescent="0.2">
      <c r="A145" s="283" t="s">
        <v>3030</v>
      </c>
    </row>
    <row r="146" spans="1:8" x14ac:dyDescent="0.2">
      <c r="A146" s="283" t="s">
        <v>1491</v>
      </c>
    </row>
    <row r="147" spans="1:8" x14ac:dyDescent="0.2">
      <c r="A147" s="283" t="s">
        <v>1492</v>
      </c>
    </row>
    <row r="149" spans="1:8" x14ac:dyDescent="0.2">
      <c r="A149" s="282" t="s">
        <v>1461</v>
      </c>
    </row>
    <row r="150" spans="1:8" x14ac:dyDescent="0.2">
      <c r="A150" s="283" t="s">
        <v>1493</v>
      </c>
    </row>
    <row r="151" spans="1:8" x14ac:dyDescent="0.2">
      <c r="A151" s="283" t="s">
        <v>1494</v>
      </c>
    </row>
    <row r="153" spans="1:8" x14ac:dyDescent="0.2">
      <c r="F153" s="1" t="s">
        <v>1464</v>
      </c>
    </row>
    <row r="154" spans="1:8" x14ac:dyDescent="0.2">
      <c r="A154" s="283" t="s">
        <v>1495</v>
      </c>
      <c r="C154" s="445">
        <f>5%+10%*1.5</f>
        <v>0.2</v>
      </c>
      <c r="F154" s="1" t="s">
        <v>1496</v>
      </c>
    </row>
    <row r="155" spans="1:8" x14ac:dyDescent="0.2">
      <c r="A155" s="283" t="s">
        <v>1497</v>
      </c>
    </row>
    <row r="157" spans="1:8" x14ac:dyDescent="0.2">
      <c r="A157" s="283" t="s">
        <v>1498</v>
      </c>
    </row>
    <row r="159" spans="1:8" x14ac:dyDescent="0.2">
      <c r="A159" s="287" t="s">
        <v>1484</v>
      </c>
      <c r="B159" s="162"/>
      <c r="C159" s="162"/>
      <c r="D159" s="162"/>
      <c r="E159" s="162"/>
      <c r="F159" s="162"/>
      <c r="G159" s="162"/>
      <c r="H159" s="162"/>
    </row>
    <row r="160" spans="1:8" x14ac:dyDescent="0.2">
      <c r="A160" s="287" t="s">
        <v>1485</v>
      </c>
      <c r="B160" s="162"/>
      <c r="C160" s="162"/>
      <c r="D160" s="162"/>
      <c r="E160" s="162"/>
      <c r="F160" s="162"/>
      <c r="G160" s="162"/>
      <c r="H160" s="162"/>
    </row>
    <row r="161" spans="1:8" x14ac:dyDescent="0.2">
      <c r="A161" s="287" t="s">
        <v>1486</v>
      </c>
      <c r="B161" s="162"/>
      <c r="C161" s="162"/>
      <c r="D161" s="162"/>
      <c r="E161" s="162"/>
      <c r="F161" s="162"/>
      <c r="G161" s="162"/>
      <c r="H161" s="162"/>
    </row>
    <row r="163" spans="1:8" x14ac:dyDescent="0.2">
      <c r="B163" s="37" t="s">
        <v>35</v>
      </c>
      <c r="C163" s="37" t="s">
        <v>52</v>
      </c>
      <c r="D163" s="37" t="s">
        <v>1499</v>
      </c>
      <c r="E163" s="272" t="s">
        <v>285</v>
      </c>
    </row>
    <row r="164" spans="1:8" x14ac:dyDescent="0.2">
      <c r="B164" s="1">
        <v>0</v>
      </c>
      <c r="C164" s="538">
        <v>0</v>
      </c>
      <c r="D164" s="7"/>
      <c r="E164" s="540">
        <f t="shared" ref="E164:E169" si="0">C164+D164</f>
        <v>0</v>
      </c>
    </row>
    <row r="165" spans="1:8" x14ac:dyDescent="0.2">
      <c r="B165" s="1">
        <v>1</v>
      </c>
      <c r="C165" s="538">
        <v>12000000</v>
      </c>
      <c r="D165" s="7"/>
      <c r="E165" s="540">
        <f t="shared" si="0"/>
        <v>12000000</v>
      </c>
    </row>
    <row r="166" spans="1:8" x14ac:dyDescent="0.2">
      <c r="B166" s="1">
        <v>2</v>
      </c>
      <c r="C166" s="538">
        <f>C165</f>
        <v>12000000</v>
      </c>
      <c r="D166" s="7"/>
      <c r="E166" s="540">
        <f t="shared" si="0"/>
        <v>12000000</v>
      </c>
    </row>
    <row r="167" spans="1:8" x14ac:dyDescent="0.2">
      <c r="B167" s="1">
        <v>3</v>
      </c>
      <c r="C167" s="538">
        <f>C166</f>
        <v>12000000</v>
      </c>
      <c r="D167" s="7"/>
      <c r="E167" s="540">
        <f t="shared" si="0"/>
        <v>12000000</v>
      </c>
    </row>
    <row r="168" spans="1:8" x14ac:dyDescent="0.2">
      <c r="B168" s="1">
        <v>4</v>
      </c>
      <c r="C168" s="538">
        <f>C167</f>
        <v>12000000</v>
      </c>
      <c r="D168" s="7"/>
      <c r="E168" s="540">
        <f t="shared" si="0"/>
        <v>12000000</v>
      </c>
    </row>
    <row r="169" spans="1:8" x14ac:dyDescent="0.2">
      <c r="B169" s="1">
        <v>5</v>
      </c>
      <c r="C169" s="538">
        <f>C168</f>
        <v>12000000</v>
      </c>
      <c r="D169" s="538">
        <f>C170/20%</f>
        <v>70000000</v>
      </c>
      <c r="E169" s="540">
        <f t="shared" si="0"/>
        <v>82000000</v>
      </c>
    </row>
    <row r="170" spans="1:8" x14ac:dyDescent="0.2">
      <c r="B170" s="2" t="s">
        <v>1500</v>
      </c>
      <c r="C170" s="539">
        <v>14000000</v>
      </c>
      <c r="D170" s="7"/>
      <c r="E170" s="7"/>
    </row>
    <row r="176" spans="1:8" ht="17" thickBot="1" x14ac:dyDescent="0.25"/>
    <row r="177" spans="1:8" ht="17" thickBot="1" x14ac:dyDescent="0.25">
      <c r="A177" s="283" t="s">
        <v>1501</v>
      </c>
      <c r="C177" s="12"/>
      <c r="E177" s="273">
        <f>NPV(20%,E165:E169)</f>
        <v>64018775.720164619</v>
      </c>
    </row>
    <row r="178" spans="1:8" x14ac:dyDescent="0.2">
      <c r="C178" s="12"/>
      <c r="E178" s="4" t="s">
        <v>1502</v>
      </c>
    </row>
    <row r="179" spans="1:8" x14ac:dyDescent="0.2">
      <c r="C179" s="12"/>
    </row>
    <row r="180" spans="1:8" x14ac:dyDescent="0.2">
      <c r="A180" s="302" t="s">
        <v>3661</v>
      </c>
      <c r="C180" s="12"/>
    </row>
    <row r="181" spans="1:8" x14ac:dyDescent="0.2">
      <c r="A181" s="283" t="s">
        <v>3662</v>
      </c>
      <c r="C181" s="12"/>
    </row>
    <row r="182" spans="1:8" x14ac:dyDescent="0.2">
      <c r="A182" s="283" t="s">
        <v>3663</v>
      </c>
      <c r="C182" s="12"/>
    </row>
    <row r="183" spans="1:8" x14ac:dyDescent="0.2">
      <c r="A183" s="283" t="s">
        <v>3664</v>
      </c>
      <c r="C183" s="12"/>
    </row>
    <row r="184" spans="1:8" x14ac:dyDescent="0.2">
      <c r="C184" s="12"/>
    </row>
    <row r="185" spans="1:8" x14ac:dyDescent="0.2">
      <c r="C185" s="12"/>
    </row>
    <row r="188" spans="1:8" x14ac:dyDescent="0.2">
      <c r="A188" s="285" t="s">
        <v>1503</v>
      </c>
      <c r="B188" s="152"/>
      <c r="C188" s="152"/>
      <c r="D188" s="152"/>
      <c r="E188" s="152"/>
      <c r="F188" s="152"/>
      <c r="G188" s="152"/>
      <c r="H188" s="152"/>
    </row>
    <row r="189" spans="1:8" x14ac:dyDescent="0.2">
      <c r="A189" s="283" t="s">
        <v>1504</v>
      </c>
    </row>
    <row r="190" spans="1:8" x14ac:dyDescent="0.2">
      <c r="A190" s="283" t="s">
        <v>1505</v>
      </c>
    </row>
    <row r="191" spans="1:8" x14ac:dyDescent="0.2">
      <c r="A191" s="283" t="s">
        <v>1506</v>
      </c>
    </row>
    <row r="192" spans="1:8" x14ac:dyDescent="0.2">
      <c r="A192" s="283" t="s">
        <v>1507</v>
      </c>
    </row>
    <row r="193" spans="1:8" x14ac:dyDescent="0.2">
      <c r="A193" s="283" t="s">
        <v>1508</v>
      </c>
    </row>
    <row r="195" spans="1:8" x14ac:dyDescent="0.2">
      <c r="A195" s="283" t="s">
        <v>1509</v>
      </c>
    </row>
    <row r="196" spans="1:8" x14ac:dyDescent="0.2">
      <c r="A196" s="283" t="s">
        <v>1510</v>
      </c>
    </row>
    <row r="197" spans="1:8" x14ac:dyDescent="0.2">
      <c r="A197" s="283" t="s">
        <v>1511</v>
      </c>
    </row>
    <row r="198" spans="1:8" x14ac:dyDescent="0.2">
      <c r="A198" s="283" t="s">
        <v>1512</v>
      </c>
    </row>
    <row r="199" spans="1:8" x14ac:dyDescent="0.2">
      <c r="A199" s="283" t="s">
        <v>1513</v>
      </c>
    </row>
    <row r="200" spans="1:8" x14ac:dyDescent="0.2">
      <c r="A200" s="283" t="s">
        <v>1514</v>
      </c>
    </row>
    <row r="201" spans="1:8" x14ac:dyDescent="0.2">
      <c r="A201" s="283" t="s">
        <v>1515</v>
      </c>
    </row>
    <row r="202" spans="1:8" ht="17" thickBot="1" x14ac:dyDescent="0.25"/>
    <row r="203" spans="1:8" ht="17" thickBot="1" x14ac:dyDescent="0.25">
      <c r="A203" s="286" t="s">
        <v>198</v>
      </c>
      <c r="B203" s="150"/>
      <c r="C203" s="150"/>
      <c r="D203" s="150"/>
      <c r="E203" s="150"/>
      <c r="F203" s="150"/>
      <c r="G203" s="150"/>
      <c r="H203" s="151"/>
    </row>
    <row r="205" spans="1:8" x14ac:dyDescent="0.2">
      <c r="A205" s="282" t="s">
        <v>330</v>
      </c>
    </row>
    <row r="206" spans="1:8" x14ac:dyDescent="0.2">
      <c r="A206" s="283" t="s">
        <v>1516</v>
      </c>
    </row>
    <row r="207" spans="1:8" x14ac:dyDescent="0.2">
      <c r="A207" s="283" t="s">
        <v>1517</v>
      </c>
    </row>
    <row r="208" spans="1:8" x14ac:dyDescent="0.2">
      <c r="A208" s="283" t="s">
        <v>1518</v>
      </c>
    </row>
    <row r="209" spans="1:5" x14ac:dyDescent="0.2">
      <c r="A209" s="283" t="s">
        <v>1519</v>
      </c>
    </row>
    <row r="210" spans="1:5" x14ac:dyDescent="0.2">
      <c r="A210" s="283" t="s">
        <v>1520</v>
      </c>
    </row>
    <row r="212" spans="1:5" x14ac:dyDescent="0.2">
      <c r="A212" s="282" t="s">
        <v>3031</v>
      </c>
    </row>
    <row r="213" spans="1:5" x14ac:dyDescent="0.2">
      <c r="E213" s="1" t="s">
        <v>3033</v>
      </c>
    </row>
    <row r="215" spans="1:5" x14ac:dyDescent="0.2">
      <c r="A215" s="283" t="s">
        <v>1522</v>
      </c>
    </row>
    <row r="216" spans="1:5" x14ac:dyDescent="0.2">
      <c r="B216" s="1" t="s">
        <v>1523</v>
      </c>
      <c r="C216" s="1" t="s">
        <v>1524</v>
      </c>
      <c r="E216" s="446">
        <v>0.2</v>
      </c>
    </row>
    <row r="217" spans="1:5" x14ac:dyDescent="0.2">
      <c r="B217" s="1" t="s">
        <v>1525</v>
      </c>
      <c r="C217" s="1" t="s">
        <v>1526</v>
      </c>
      <c r="E217" s="447">
        <v>0.1</v>
      </c>
    </row>
    <row r="218" spans="1:5" x14ac:dyDescent="0.2">
      <c r="B218" s="1" t="s">
        <v>1084</v>
      </c>
      <c r="C218" s="1" t="s">
        <v>1527</v>
      </c>
      <c r="E218" s="12">
        <v>100000000</v>
      </c>
    </row>
    <row r="219" spans="1:5" x14ac:dyDescent="0.2">
      <c r="B219" s="1" t="s">
        <v>1528</v>
      </c>
      <c r="C219" s="1" t="s">
        <v>1529</v>
      </c>
      <c r="E219" s="448">
        <v>0.23</v>
      </c>
    </row>
    <row r="220" spans="1:5" x14ac:dyDescent="0.2">
      <c r="B220" s="1" t="s">
        <v>1083</v>
      </c>
      <c r="C220" s="1" t="s">
        <v>3032</v>
      </c>
      <c r="E220" s="11"/>
    </row>
    <row r="221" spans="1:5" x14ac:dyDescent="0.2">
      <c r="B221" s="1" t="s">
        <v>1568</v>
      </c>
      <c r="C221" s="1" t="s">
        <v>3037</v>
      </c>
      <c r="E221" s="11"/>
    </row>
    <row r="222" spans="1:5" x14ac:dyDescent="0.2">
      <c r="E222" s="12"/>
    </row>
    <row r="223" spans="1:5" x14ac:dyDescent="0.2">
      <c r="A223" s="283" t="s">
        <v>1530</v>
      </c>
      <c r="E223" s="12"/>
    </row>
    <row r="224" spans="1:5" x14ac:dyDescent="0.2">
      <c r="E224" s="1" t="s">
        <v>3036</v>
      </c>
    </row>
    <row r="225" spans="1:6" x14ac:dyDescent="0.2">
      <c r="E225" s="12"/>
    </row>
    <row r="226" spans="1:6" x14ac:dyDescent="0.2">
      <c r="A226" s="283" t="s">
        <v>1532</v>
      </c>
      <c r="E226" s="12"/>
    </row>
    <row r="227" spans="1:6" x14ac:dyDescent="0.2">
      <c r="A227" s="283" t="s">
        <v>1533</v>
      </c>
      <c r="E227" s="12"/>
    </row>
    <row r="228" spans="1:6" x14ac:dyDescent="0.2">
      <c r="E228" s="12"/>
    </row>
    <row r="229" spans="1:6" x14ac:dyDescent="0.2">
      <c r="B229" s="1" t="s">
        <v>582</v>
      </c>
      <c r="C229" s="1" t="s">
        <v>1534</v>
      </c>
      <c r="E229" s="1">
        <v>12</v>
      </c>
      <c r="F229" s="1" t="s">
        <v>3034</v>
      </c>
    </row>
    <row r="230" spans="1:6" x14ac:dyDescent="0.2">
      <c r="B230" s="1" t="s">
        <v>1427</v>
      </c>
      <c r="C230" s="1" t="s">
        <v>1536</v>
      </c>
      <c r="E230" s="11">
        <v>0.2</v>
      </c>
      <c r="F230" s="1" t="s">
        <v>1535</v>
      </c>
    </row>
    <row r="231" spans="1:6" x14ac:dyDescent="0.2">
      <c r="B231" s="1" t="s">
        <v>552</v>
      </c>
      <c r="C231" s="1" t="s">
        <v>1537</v>
      </c>
      <c r="E231" s="11">
        <v>0.05</v>
      </c>
      <c r="F231" s="1" t="s">
        <v>1535</v>
      </c>
    </row>
    <row r="233" spans="1:6" x14ac:dyDescent="0.2">
      <c r="A233" s="283" t="s">
        <v>3665</v>
      </c>
    </row>
    <row r="234" spans="1:6" x14ac:dyDescent="0.2">
      <c r="E234" s="1" t="s">
        <v>1440</v>
      </c>
    </row>
    <row r="235" spans="1:6" x14ac:dyDescent="0.2">
      <c r="C235" s="37">
        <f>12/0.15</f>
        <v>80</v>
      </c>
      <c r="E235" s="1" t="s">
        <v>1538</v>
      </c>
    </row>
    <row r="237" spans="1:6" x14ac:dyDescent="0.2">
      <c r="A237" s="283" t="s">
        <v>1539</v>
      </c>
    </row>
    <row r="238" spans="1:6" x14ac:dyDescent="0.2">
      <c r="C238" s="265">
        <f>C235*5000000</f>
        <v>400000000</v>
      </c>
      <c r="E238" s="1" t="s">
        <v>3035</v>
      </c>
    </row>
    <row r="240" spans="1:6" x14ac:dyDescent="0.2">
      <c r="A240" s="283" t="s">
        <v>1540</v>
      </c>
    </row>
    <row r="241" spans="1:7" x14ac:dyDescent="0.2">
      <c r="A241" s="288">
        <v>500000000</v>
      </c>
      <c r="E241" s="1" t="s">
        <v>1541</v>
      </c>
    </row>
    <row r="243" spans="1:7" x14ac:dyDescent="0.2">
      <c r="A243" s="283" t="s">
        <v>1542</v>
      </c>
    </row>
    <row r="244" spans="1:7" x14ac:dyDescent="0.2">
      <c r="G244" s="1" t="s">
        <v>1531</v>
      </c>
    </row>
    <row r="245" spans="1:7" x14ac:dyDescent="0.2">
      <c r="G245" s="1" t="s">
        <v>1543</v>
      </c>
    </row>
    <row r="246" spans="1:7" x14ac:dyDescent="0.2">
      <c r="F246" s="261">
        <f>0.2*400/500+0.1*0.77*100/500</f>
        <v>0.1754</v>
      </c>
      <c r="G246" s="1" t="s">
        <v>1544</v>
      </c>
    </row>
    <row r="248" spans="1:7" x14ac:dyDescent="0.2">
      <c r="A248" s="283" t="s">
        <v>1545</v>
      </c>
    </row>
    <row r="250" spans="1:7" x14ac:dyDescent="0.2">
      <c r="A250" s="282" t="s">
        <v>1546</v>
      </c>
    </row>
    <row r="251" spans="1:7" x14ac:dyDescent="0.2">
      <c r="A251" s="289" t="s">
        <v>1547</v>
      </c>
    </row>
    <row r="252" spans="1:7" x14ac:dyDescent="0.2">
      <c r="A252" s="289" t="s">
        <v>1512</v>
      </c>
    </row>
    <row r="254" spans="1:7" x14ac:dyDescent="0.2">
      <c r="A254" s="283" t="s">
        <v>1548</v>
      </c>
    </row>
    <row r="255" spans="1:7" x14ac:dyDescent="0.2">
      <c r="A255" s="283" t="s">
        <v>1549</v>
      </c>
    </row>
    <row r="256" spans="1:7" x14ac:dyDescent="0.2">
      <c r="A256" s="283" t="s">
        <v>1550</v>
      </c>
    </row>
    <row r="258" spans="1:12" x14ac:dyDescent="0.2">
      <c r="A258" s="282" t="s">
        <v>1461</v>
      </c>
    </row>
    <row r="260" spans="1:12" x14ac:dyDescent="0.2">
      <c r="C260" s="4" t="s">
        <v>3041</v>
      </c>
      <c r="I260" s="4" t="s">
        <v>3042</v>
      </c>
    </row>
    <row r="262" spans="1:12" x14ac:dyDescent="0.2">
      <c r="C262" s="1" t="s">
        <v>35</v>
      </c>
      <c r="D262" s="1" t="s">
        <v>3038</v>
      </c>
      <c r="I262" s="43">
        <f>F246</f>
        <v>0.1754</v>
      </c>
      <c r="J262" s="1" t="s">
        <v>117</v>
      </c>
      <c r="K262" s="1" t="s">
        <v>1544</v>
      </c>
    </row>
    <row r="263" spans="1:12" x14ac:dyDescent="0.2">
      <c r="C263" s="1">
        <v>0</v>
      </c>
      <c r="D263" s="1">
        <v>-400000</v>
      </c>
      <c r="I263" s="1">
        <v>30</v>
      </c>
      <c r="J263" s="1" t="s">
        <v>119</v>
      </c>
      <c r="K263" s="1" t="s">
        <v>3043</v>
      </c>
    </row>
    <row r="264" spans="1:12" x14ac:dyDescent="0.2">
      <c r="C264" s="1">
        <v>1</v>
      </c>
      <c r="D264" s="1">
        <v>20000</v>
      </c>
      <c r="I264" s="1">
        <v>20000</v>
      </c>
      <c r="J264" s="1" t="s">
        <v>123</v>
      </c>
      <c r="K264" s="1" t="s">
        <v>3044</v>
      </c>
    </row>
    <row r="265" spans="1:12" x14ac:dyDescent="0.2">
      <c r="C265" s="1">
        <f t="shared" ref="C265:C293" si="1">C264+1</f>
        <v>2</v>
      </c>
      <c r="D265" s="1">
        <f t="shared" ref="D265:D293" si="2">D264</f>
        <v>20000</v>
      </c>
      <c r="I265" s="122">
        <f>PV(I262,I263,I264)</f>
        <v>-113130.89550528421</v>
      </c>
      <c r="J265" s="1" t="s">
        <v>121</v>
      </c>
    </row>
    <row r="266" spans="1:12" x14ac:dyDescent="0.2">
      <c r="C266" s="1">
        <f t="shared" si="1"/>
        <v>3</v>
      </c>
      <c r="D266" s="1">
        <f t="shared" si="2"/>
        <v>20000</v>
      </c>
      <c r="I266" s="1">
        <v>0</v>
      </c>
      <c r="J266" s="1" t="s">
        <v>125</v>
      </c>
      <c r="K266" s="1" t="s">
        <v>3045</v>
      </c>
    </row>
    <row r="267" spans="1:12" x14ac:dyDescent="0.2">
      <c r="C267" s="1">
        <f t="shared" si="1"/>
        <v>4</v>
      </c>
      <c r="D267" s="1">
        <f t="shared" si="2"/>
        <v>20000</v>
      </c>
    </row>
    <row r="268" spans="1:12" x14ac:dyDescent="0.2">
      <c r="C268" s="1">
        <f t="shared" si="1"/>
        <v>5</v>
      </c>
      <c r="D268" s="1">
        <f t="shared" si="2"/>
        <v>20000</v>
      </c>
      <c r="I268" s="1" t="s">
        <v>3048</v>
      </c>
      <c r="L268" s="122">
        <f>-I265</f>
        <v>113130.89550528421</v>
      </c>
    </row>
    <row r="269" spans="1:12" x14ac:dyDescent="0.2">
      <c r="C269" s="1">
        <f t="shared" si="1"/>
        <v>6</v>
      </c>
      <c r="D269" s="1">
        <f t="shared" si="2"/>
        <v>20000</v>
      </c>
      <c r="I269" s="1" t="s">
        <v>3046</v>
      </c>
      <c r="L269" s="1">
        <v>-400000</v>
      </c>
    </row>
    <row r="270" spans="1:12" x14ac:dyDescent="0.2">
      <c r="C270" s="1">
        <f t="shared" si="1"/>
        <v>7</v>
      </c>
      <c r="D270" s="1">
        <f t="shared" si="2"/>
        <v>20000</v>
      </c>
      <c r="I270" s="1" t="s">
        <v>3047</v>
      </c>
      <c r="L270" s="161">
        <f>L268+L269</f>
        <v>-286869.10449471581</v>
      </c>
    </row>
    <row r="271" spans="1:12" x14ac:dyDescent="0.2">
      <c r="C271" s="1">
        <f t="shared" si="1"/>
        <v>8</v>
      </c>
      <c r="D271" s="1">
        <f t="shared" si="2"/>
        <v>20000</v>
      </c>
    </row>
    <row r="272" spans="1:12" x14ac:dyDescent="0.2">
      <c r="C272" s="1">
        <f t="shared" si="1"/>
        <v>9</v>
      </c>
      <c r="D272" s="1">
        <f t="shared" si="2"/>
        <v>20000</v>
      </c>
    </row>
    <row r="273" spans="3:4" x14ac:dyDescent="0.2">
      <c r="C273" s="1">
        <f t="shared" si="1"/>
        <v>10</v>
      </c>
      <c r="D273" s="1">
        <f t="shared" si="2"/>
        <v>20000</v>
      </c>
    </row>
    <row r="274" spans="3:4" x14ac:dyDescent="0.2">
      <c r="C274" s="1">
        <f t="shared" si="1"/>
        <v>11</v>
      </c>
      <c r="D274" s="1">
        <f t="shared" si="2"/>
        <v>20000</v>
      </c>
    </row>
    <row r="275" spans="3:4" x14ac:dyDescent="0.2">
      <c r="C275" s="1">
        <f t="shared" si="1"/>
        <v>12</v>
      </c>
      <c r="D275" s="1">
        <f t="shared" si="2"/>
        <v>20000</v>
      </c>
    </row>
    <row r="276" spans="3:4" x14ac:dyDescent="0.2">
      <c r="C276" s="1">
        <f t="shared" si="1"/>
        <v>13</v>
      </c>
      <c r="D276" s="1">
        <f t="shared" si="2"/>
        <v>20000</v>
      </c>
    </row>
    <row r="277" spans="3:4" x14ac:dyDescent="0.2">
      <c r="C277" s="1">
        <f t="shared" si="1"/>
        <v>14</v>
      </c>
      <c r="D277" s="1">
        <f t="shared" si="2"/>
        <v>20000</v>
      </c>
    </row>
    <row r="278" spans="3:4" x14ac:dyDescent="0.2">
      <c r="C278" s="1">
        <f t="shared" si="1"/>
        <v>15</v>
      </c>
      <c r="D278" s="1">
        <f t="shared" si="2"/>
        <v>20000</v>
      </c>
    </row>
    <row r="279" spans="3:4" x14ac:dyDescent="0.2">
      <c r="C279" s="1">
        <f t="shared" si="1"/>
        <v>16</v>
      </c>
      <c r="D279" s="1">
        <f t="shared" si="2"/>
        <v>20000</v>
      </c>
    </row>
    <row r="280" spans="3:4" x14ac:dyDescent="0.2">
      <c r="C280" s="1">
        <f t="shared" si="1"/>
        <v>17</v>
      </c>
      <c r="D280" s="1">
        <f t="shared" si="2"/>
        <v>20000</v>
      </c>
    </row>
    <row r="281" spans="3:4" x14ac:dyDescent="0.2">
      <c r="C281" s="1">
        <f t="shared" si="1"/>
        <v>18</v>
      </c>
      <c r="D281" s="1">
        <f t="shared" si="2"/>
        <v>20000</v>
      </c>
    </row>
    <row r="282" spans="3:4" x14ac:dyDescent="0.2">
      <c r="C282" s="1">
        <f t="shared" si="1"/>
        <v>19</v>
      </c>
      <c r="D282" s="1">
        <f t="shared" si="2"/>
        <v>20000</v>
      </c>
    </row>
    <row r="283" spans="3:4" x14ac:dyDescent="0.2">
      <c r="C283" s="1">
        <f t="shared" si="1"/>
        <v>20</v>
      </c>
      <c r="D283" s="1">
        <f t="shared" si="2"/>
        <v>20000</v>
      </c>
    </row>
    <row r="284" spans="3:4" x14ac:dyDescent="0.2">
      <c r="C284" s="1">
        <f t="shared" si="1"/>
        <v>21</v>
      </c>
      <c r="D284" s="1">
        <f t="shared" si="2"/>
        <v>20000</v>
      </c>
    </row>
    <row r="285" spans="3:4" x14ac:dyDescent="0.2">
      <c r="C285" s="1">
        <f t="shared" si="1"/>
        <v>22</v>
      </c>
      <c r="D285" s="1">
        <f t="shared" si="2"/>
        <v>20000</v>
      </c>
    </row>
    <row r="286" spans="3:4" x14ac:dyDescent="0.2">
      <c r="C286" s="1">
        <f t="shared" si="1"/>
        <v>23</v>
      </c>
      <c r="D286" s="1">
        <f t="shared" si="2"/>
        <v>20000</v>
      </c>
    </row>
    <row r="287" spans="3:4" x14ac:dyDescent="0.2">
      <c r="C287" s="1">
        <f t="shared" si="1"/>
        <v>24</v>
      </c>
      <c r="D287" s="1">
        <f t="shared" si="2"/>
        <v>20000</v>
      </c>
    </row>
    <row r="288" spans="3:4" x14ac:dyDescent="0.2">
      <c r="C288" s="1">
        <f t="shared" si="1"/>
        <v>25</v>
      </c>
      <c r="D288" s="1">
        <f t="shared" si="2"/>
        <v>20000</v>
      </c>
    </row>
    <row r="289" spans="1:6" x14ac:dyDescent="0.2">
      <c r="C289" s="1">
        <f t="shared" si="1"/>
        <v>26</v>
      </c>
      <c r="D289" s="1">
        <f t="shared" si="2"/>
        <v>20000</v>
      </c>
    </row>
    <row r="290" spans="1:6" x14ac:dyDescent="0.2">
      <c r="C290" s="1">
        <f t="shared" si="1"/>
        <v>27</v>
      </c>
      <c r="D290" s="1">
        <f t="shared" si="2"/>
        <v>20000</v>
      </c>
    </row>
    <row r="291" spans="1:6" x14ac:dyDescent="0.2">
      <c r="C291" s="1">
        <f t="shared" si="1"/>
        <v>28</v>
      </c>
      <c r="D291" s="1">
        <f t="shared" si="2"/>
        <v>20000</v>
      </c>
    </row>
    <row r="292" spans="1:6" x14ac:dyDescent="0.2">
      <c r="C292" s="1">
        <f t="shared" si="1"/>
        <v>29</v>
      </c>
      <c r="D292" s="1">
        <f t="shared" si="2"/>
        <v>20000</v>
      </c>
    </row>
    <row r="293" spans="1:6" x14ac:dyDescent="0.2">
      <c r="C293" s="1">
        <f t="shared" si="1"/>
        <v>30</v>
      </c>
      <c r="D293" s="1">
        <f t="shared" si="2"/>
        <v>20000</v>
      </c>
    </row>
    <row r="295" spans="1:6" x14ac:dyDescent="0.2">
      <c r="A295" s="283" t="s">
        <v>3039</v>
      </c>
      <c r="D295" s="43">
        <f>F246</f>
        <v>0.1754</v>
      </c>
      <c r="E295" s="37" t="s">
        <v>335</v>
      </c>
      <c r="F295" s="37" t="s">
        <v>1544</v>
      </c>
    </row>
    <row r="296" spans="1:6" x14ac:dyDescent="0.2">
      <c r="D296" s="43"/>
      <c r="E296" s="37"/>
      <c r="F296" s="37"/>
    </row>
    <row r="297" spans="1:6" x14ac:dyDescent="0.2">
      <c r="D297" s="174">
        <f>NPV(D295,D264:D293)+D263</f>
        <v>-286869.10449471581</v>
      </c>
      <c r="E297" s="37" t="s">
        <v>1849</v>
      </c>
      <c r="F297" s="37"/>
    </row>
    <row r="299" spans="1:6" x14ac:dyDescent="0.2">
      <c r="A299" s="283" t="s">
        <v>3040</v>
      </c>
    </row>
    <row r="303" spans="1:6" x14ac:dyDescent="0.2">
      <c r="A303" s="282" t="s">
        <v>1551</v>
      </c>
    </row>
    <row r="304" spans="1:6" x14ac:dyDescent="0.2">
      <c r="A304" s="283" t="s">
        <v>1552</v>
      </c>
    </row>
    <row r="305" spans="1:9" x14ac:dyDescent="0.2">
      <c r="A305" s="283" t="s">
        <v>3666</v>
      </c>
    </row>
    <row r="306" spans="1:9" x14ac:dyDescent="0.2">
      <c r="A306" s="283" t="s">
        <v>3667</v>
      </c>
    </row>
    <row r="307" spans="1:9" x14ac:dyDescent="0.2">
      <c r="A307" s="283" t="s">
        <v>3668</v>
      </c>
    </row>
    <row r="309" spans="1:9" x14ac:dyDescent="0.2">
      <c r="A309" s="285" t="s">
        <v>1553</v>
      </c>
      <c r="B309" s="152"/>
      <c r="C309" s="152"/>
      <c r="D309" s="152"/>
      <c r="E309" s="152"/>
      <c r="F309" s="152"/>
      <c r="G309" s="152"/>
      <c r="H309" s="152"/>
      <c r="I309" s="13" t="s">
        <v>3067</v>
      </c>
    </row>
    <row r="310" spans="1:9" x14ac:dyDescent="0.2">
      <c r="A310" s="283" t="s">
        <v>1554</v>
      </c>
    </row>
    <row r="311" spans="1:9" x14ac:dyDescent="0.2">
      <c r="A311" s="283" t="s">
        <v>1555</v>
      </c>
    </row>
    <row r="312" spans="1:9" x14ac:dyDescent="0.2">
      <c r="A312" s="283" t="s">
        <v>1556</v>
      </c>
    </row>
    <row r="313" spans="1:9" x14ac:dyDescent="0.2">
      <c r="A313" s="283" t="s">
        <v>1557</v>
      </c>
    </row>
    <row r="314" spans="1:9" x14ac:dyDescent="0.2">
      <c r="A314" s="283" t="s">
        <v>1558</v>
      </c>
    </row>
    <row r="316" spans="1:9" x14ac:dyDescent="0.2">
      <c r="A316" s="283" t="s">
        <v>1509</v>
      </c>
    </row>
    <row r="317" spans="1:9" x14ac:dyDescent="0.2">
      <c r="A317" s="283" t="s">
        <v>1559</v>
      </c>
    </row>
    <row r="318" spans="1:9" ht="17" thickBot="1" x14ac:dyDescent="0.25"/>
    <row r="319" spans="1:9" ht="17" thickBot="1" x14ac:dyDescent="0.25">
      <c r="A319" s="286" t="s">
        <v>198</v>
      </c>
      <c r="B319" s="150"/>
      <c r="C319" s="150"/>
      <c r="D319" s="150"/>
      <c r="E319" s="150"/>
      <c r="F319" s="150"/>
      <c r="G319" s="150"/>
      <c r="H319" s="151"/>
    </row>
    <row r="321" spans="1:6" x14ac:dyDescent="0.2">
      <c r="A321" s="283" t="s">
        <v>1560</v>
      </c>
    </row>
    <row r="322" spans="1:6" x14ac:dyDescent="0.2">
      <c r="A322" s="283" t="s">
        <v>1561</v>
      </c>
    </row>
    <row r="323" spans="1:6" x14ac:dyDescent="0.2">
      <c r="A323" s="283" t="s">
        <v>1562</v>
      </c>
    </row>
    <row r="324" spans="1:6" x14ac:dyDescent="0.2">
      <c r="A324" s="283" t="s">
        <v>1563</v>
      </c>
    </row>
    <row r="326" spans="1:6" x14ac:dyDescent="0.2">
      <c r="A326" s="282" t="s">
        <v>386</v>
      </c>
    </row>
    <row r="327" spans="1:6" x14ac:dyDescent="0.2">
      <c r="A327" s="290" t="s">
        <v>1554</v>
      </c>
      <c r="B327" s="274"/>
      <c r="C327" s="274"/>
      <c r="D327" s="274"/>
      <c r="E327" s="274"/>
    </row>
    <row r="328" spans="1:6" x14ac:dyDescent="0.2">
      <c r="A328" s="290" t="s">
        <v>1555</v>
      </c>
      <c r="B328" s="274"/>
      <c r="C328" s="274"/>
      <c r="D328" s="274"/>
      <c r="E328" s="274"/>
    </row>
    <row r="329" spans="1:6" x14ac:dyDescent="0.2">
      <c r="A329" s="290" t="s">
        <v>1556</v>
      </c>
      <c r="B329" s="274"/>
      <c r="C329" s="274"/>
      <c r="D329" s="274"/>
      <c r="E329" s="274"/>
    </row>
    <row r="330" spans="1:6" x14ac:dyDescent="0.2">
      <c r="A330" s="290" t="s">
        <v>1557</v>
      </c>
      <c r="B330" s="274"/>
      <c r="C330" s="274"/>
      <c r="D330" s="274"/>
      <c r="E330" s="274"/>
    </row>
    <row r="331" spans="1:6" x14ac:dyDescent="0.2">
      <c r="A331" s="290" t="s">
        <v>1558</v>
      </c>
      <c r="B331" s="274"/>
      <c r="C331" s="274"/>
      <c r="D331" s="274"/>
      <c r="E331" s="274"/>
    </row>
    <row r="332" spans="1:6" x14ac:dyDescent="0.2">
      <c r="A332" s="282"/>
    </row>
    <row r="333" spans="1:6" x14ac:dyDescent="0.2">
      <c r="F333" s="1" t="s">
        <v>3050</v>
      </c>
    </row>
    <row r="339" spans="1:8" x14ac:dyDescent="0.2">
      <c r="B339" s="1" t="s">
        <v>1522</v>
      </c>
    </row>
    <row r="340" spans="1:8" x14ac:dyDescent="0.2">
      <c r="C340" s="1" t="s">
        <v>1083</v>
      </c>
      <c r="D340" s="1" t="s">
        <v>1565</v>
      </c>
      <c r="F340" s="12">
        <f>60%*400000000</f>
        <v>240000000</v>
      </c>
      <c r="H340" s="1" t="s">
        <v>1566</v>
      </c>
    </row>
    <row r="341" spans="1:8" x14ac:dyDescent="0.2">
      <c r="C341" s="1" t="s">
        <v>1084</v>
      </c>
      <c r="D341" s="1" t="s">
        <v>1527</v>
      </c>
      <c r="F341" s="12">
        <f>40%*400000000</f>
        <v>160000000</v>
      </c>
      <c r="H341" s="1" t="s">
        <v>1567</v>
      </c>
    </row>
    <row r="342" spans="1:8" x14ac:dyDescent="0.2">
      <c r="C342" s="1" t="s">
        <v>1568</v>
      </c>
      <c r="D342" s="1" t="s">
        <v>1569</v>
      </c>
      <c r="F342" s="12">
        <v>400000000</v>
      </c>
    </row>
    <row r="343" spans="1:8" x14ac:dyDescent="0.2">
      <c r="C343" s="1" t="s">
        <v>1435</v>
      </c>
      <c r="D343" s="1" t="s">
        <v>1529</v>
      </c>
      <c r="F343" s="11">
        <v>0.23</v>
      </c>
    </row>
    <row r="345" spans="1:8" x14ac:dyDescent="0.2">
      <c r="B345" s="1" t="s">
        <v>1570</v>
      </c>
    </row>
    <row r="346" spans="1:8" x14ac:dyDescent="0.2">
      <c r="H346" s="1" t="s">
        <v>1571</v>
      </c>
    </row>
    <row r="348" spans="1:8" x14ac:dyDescent="0.2">
      <c r="A348" s="460" t="s">
        <v>1557</v>
      </c>
    </row>
    <row r="349" spans="1:8" x14ac:dyDescent="0.2">
      <c r="A349" s="460" t="s">
        <v>1558</v>
      </c>
    </row>
    <row r="350" spans="1:8" x14ac:dyDescent="0.2">
      <c r="A350" s="460"/>
    </row>
    <row r="351" spans="1:8" x14ac:dyDescent="0.2">
      <c r="B351" s="1" t="s">
        <v>1572</v>
      </c>
    </row>
    <row r="352" spans="1:8" x14ac:dyDescent="0.2">
      <c r="B352" s="1" t="s">
        <v>1573</v>
      </c>
      <c r="E352" s="12">
        <f>F340</f>
        <v>240000000</v>
      </c>
      <c r="H352" s="1" t="s">
        <v>1566</v>
      </c>
    </row>
    <row r="353" spans="1:8" x14ac:dyDescent="0.2">
      <c r="B353" s="1" t="s">
        <v>1574</v>
      </c>
      <c r="E353" s="12">
        <v>5000000</v>
      </c>
    </row>
    <row r="354" spans="1:8" x14ac:dyDescent="0.2">
      <c r="B354" s="1" t="s">
        <v>1575</v>
      </c>
      <c r="E354" s="15">
        <f>E352/E353</f>
        <v>48</v>
      </c>
      <c r="H354" s="1" t="s">
        <v>1576</v>
      </c>
    </row>
    <row r="356" spans="1:8" x14ac:dyDescent="0.2">
      <c r="B356" s="1" t="s">
        <v>1577</v>
      </c>
    </row>
    <row r="357" spans="1:8" x14ac:dyDescent="0.2">
      <c r="F357" s="1" t="s">
        <v>3051</v>
      </c>
    </row>
    <row r="358" spans="1:8" x14ac:dyDescent="0.2">
      <c r="B358" s="1" t="s">
        <v>1522</v>
      </c>
    </row>
    <row r="359" spans="1:8" x14ac:dyDescent="0.2">
      <c r="B359" s="1" t="s">
        <v>1578</v>
      </c>
      <c r="E359" s="1">
        <v>10</v>
      </c>
    </row>
    <row r="360" spans="1:8" x14ac:dyDescent="0.2">
      <c r="B360" s="1" t="s">
        <v>1579</v>
      </c>
      <c r="E360" s="275">
        <v>6</v>
      </c>
      <c r="G360" s="1" t="s">
        <v>1580</v>
      </c>
    </row>
    <row r="361" spans="1:8" x14ac:dyDescent="0.2">
      <c r="B361" s="1" t="s">
        <v>1581</v>
      </c>
      <c r="E361" s="11">
        <v>0.04</v>
      </c>
    </row>
    <row r="363" spans="1:8" x14ac:dyDescent="0.2">
      <c r="B363" s="1" t="s">
        <v>1582</v>
      </c>
      <c r="F363" s="1" t="s">
        <v>3052</v>
      </c>
    </row>
    <row r="364" spans="1:8" x14ac:dyDescent="0.2">
      <c r="B364" s="1" t="s">
        <v>1536</v>
      </c>
      <c r="E364" s="276">
        <f>6/48+4%</f>
        <v>0.16500000000000001</v>
      </c>
      <c r="F364" s="1" t="s">
        <v>1583</v>
      </c>
    </row>
    <row r="366" spans="1:8" x14ac:dyDescent="0.2">
      <c r="B366" s="4" t="s">
        <v>1584</v>
      </c>
    </row>
    <row r="368" spans="1:8" x14ac:dyDescent="0.2">
      <c r="A368" s="460" t="s">
        <v>1554</v>
      </c>
    </row>
    <row r="369" spans="1:8" x14ac:dyDescent="0.2">
      <c r="A369" s="460" t="s">
        <v>1555</v>
      </c>
    </row>
    <row r="370" spans="1:8" x14ac:dyDescent="0.2">
      <c r="A370" s="460" t="s">
        <v>1556</v>
      </c>
    </row>
    <row r="371" spans="1:8" x14ac:dyDescent="0.2">
      <c r="A371" s="460"/>
    </row>
    <row r="372" spans="1:8" x14ac:dyDescent="0.2">
      <c r="B372" s="1" t="s">
        <v>1585</v>
      </c>
      <c r="F372" s="12">
        <f>F341</f>
        <v>160000000</v>
      </c>
      <c r="H372" s="1" t="s">
        <v>1586</v>
      </c>
    </row>
    <row r="373" spans="1:8" x14ac:dyDescent="0.2">
      <c r="B373" s="1" t="s">
        <v>1587</v>
      </c>
      <c r="F373" s="12">
        <f>8%*200000000</f>
        <v>16000000</v>
      </c>
      <c r="H373" s="1" t="s">
        <v>1588</v>
      </c>
    </row>
    <row r="374" spans="1:8" x14ac:dyDescent="0.2">
      <c r="B374" s="1" t="s">
        <v>1589</v>
      </c>
      <c r="F374" s="116"/>
      <c r="H374" s="1" t="s">
        <v>1590</v>
      </c>
    </row>
    <row r="375" spans="1:8" x14ac:dyDescent="0.2">
      <c r="F375" s="116"/>
    </row>
    <row r="376" spans="1:8" x14ac:dyDescent="0.2">
      <c r="B376" s="1" t="s">
        <v>3053</v>
      </c>
      <c r="F376" s="116"/>
    </row>
    <row r="377" spans="1:8" x14ac:dyDescent="0.2">
      <c r="F377" s="116"/>
    </row>
    <row r="378" spans="1:8" x14ac:dyDescent="0.2">
      <c r="F378" s="116"/>
    </row>
    <row r="380" spans="1:8" x14ac:dyDescent="0.2">
      <c r="B380" s="1" t="s">
        <v>1591</v>
      </c>
    </row>
    <row r="381" spans="1:8" ht="15" customHeight="1" x14ac:dyDescent="0.2">
      <c r="A381" s="283" t="s">
        <v>578</v>
      </c>
      <c r="F381" s="1" t="s">
        <v>3050</v>
      </c>
    </row>
    <row r="382" spans="1:8" ht="15" customHeight="1" x14ac:dyDescent="0.2"/>
    <row r="383" spans="1:8" ht="15" customHeight="1" x14ac:dyDescent="0.2">
      <c r="A383" s="283" t="s">
        <v>3054</v>
      </c>
    </row>
    <row r="384" spans="1:8" ht="15" customHeight="1" x14ac:dyDescent="0.2">
      <c r="G384" s="1" t="s">
        <v>1571</v>
      </c>
    </row>
    <row r="385" spans="1:9" ht="15" customHeight="1" x14ac:dyDescent="0.2"/>
    <row r="386" spans="1:9" ht="15" customHeight="1" x14ac:dyDescent="0.2">
      <c r="A386" s="283" t="s">
        <v>3055</v>
      </c>
    </row>
    <row r="387" spans="1:9" ht="15" customHeight="1" x14ac:dyDescent="0.2">
      <c r="A387" s="291">
        <f>16.5%*240/400+0.1*0.77*160/400</f>
        <v>0.1298</v>
      </c>
      <c r="H387" s="1" t="s">
        <v>1592</v>
      </c>
    </row>
    <row r="388" spans="1:9" ht="15" customHeight="1" thickBot="1" x14ac:dyDescent="0.25"/>
    <row r="389" spans="1:9" ht="15" customHeight="1" x14ac:dyDescent="0.2">
      <c r="A389" s="296" t="s">
        <v>1593</v>
      </c>
      <c r="B389" s="17"/>
      <c r="C389" s="17"/>
      <c r="D389" s="17"/>
      <c r="E389" s="17"/>
      <c r="F389" s="17"/>
      <c r="G389" s="17"/>
      <c r="H389" s="18"/>
    </row>
    <row r="390" spans="1:9" ht="15" customHeight="1" x14ac:dyDescent="0.2">
      <c r="A390" s="461" t="s">
        <v>1594</v>
      </c>
      <c r="B390" s="1" t="s">
        <v>1595</v>
      </c>
      <c r="H390" s="20"/>
    </row>
    <row r="391" spans="1:9" ht="15" customHeight="1" x14ac:dyDescent="0.2">
      <c r="A391" s="461"/>
      <c r="B391" s="1" t="s">
        <v>1596</v>
      </c>
      <c r="F391" s="1" t="s">
        <v>1440</v>
      </c>
      <c r="H391" s="20"/>
    </row>
    <row r="392" spans="1:9" ht="15" customHeight="1" x14ac:dyDescent="0.2">
      <c r="A392" s="461" t="s">
        <v>1597</v>
      </c>
      <c r="B392" s="1" t="s">
        <v>1598</v>
      </c>
      <c r="H392" s="20"/>
    </row>
    <row r="393" spans="1:9" ht="15" customHeight="1" thickBot="1" x14ac:dyDescent="0.25">
      <c r="A393" s="462"/>
      <c r="B393" s="22" t="s">
        <v>1599</v>
      </c>
      <c r="C393" s="22"/>
      <c r="D393" s="22"/>
      <c r="E393" s="22"/>
      <c r="F393" s="22"/>
      <c r="G393" s="22"/>
      <c r="H393" s="23"/>
    </row>
    <row r="394" spans="1:9" ht="15" customHeight="1" x14ac:dyDescent="0.2"/>
    <row r="397" spans="1:9" x14ac:dyDescent="0.2">
      <c r="A397" s="285" t="s">
        <v>1600</v>
      </c>
      <c r="B397" s="152"/>
      <c r="C397" s="152"/>
      <c r="D397" s="152"/>
      <c r="E397" s="152"/>
      <c r="F397" s="152"/>
      <c r="G397" s="152"/>
      <c r="H397" s="152"/>
      <c r="I397" s="13" t="s">
        <v>3067</v>
      </c>
    </row>
    <row r="398" spans="1:9" x14ac:dyDescent="0.2">
      <c r="A398" s="283" t="s">
        <v>1601</v>
      </c>
    </row>
    <row r="399" spans="1:9" x14ac:dyDescent="0.2">
      <c r="A399" s="283" t="s">
        <v>1602</v>
      </c>
    </row>
    <row r="400" spans="1:9" x14ac:dyDescent="0.2">
      <c r="A400" s="283" t="s">
        <v>1603</v>
      </c>
    </row>
    <row r="401" spans="1:8" x14ac:dyDescent="0.2">
      <c r="A401" s="283" t="s">
        <v>1604</v>
      </c>
    </row>
    <row r="402" spans="1:8" x14ac:dyDescent="0.2">
      <c r="A402" s="283" t="s">
        <v>1605</v>
      </c>
    </row>
    <row r="403" spans="1:8" x14ac:dyDescent="0.2">
      <c r="A403" s="283" t="s">
        <v>1606</v>
      </c>
    </row>
    <row r="404" spans="1:8" x14ac:dyDescent="0.2">
      <c r="A404" s="283" t="s">
        <v>1607</v>
      </c>
    </row>
    <row r="406" spans="1:8" x14ac:dyDescent="0.2">
      <c r="A406" s="283" t="s">
        <v>282</v>
      </c>
    </row>
    <row r="407" spans="1:8" x14ac:dyDescent="0.2">
      <c r="A407" s="283" t="s">
        <v>1608</v>
      </c>
    </row>
    <row r="408" spans="1:8" ht="17" thickBot="1" x14ac:dyDescent="0.25"/>
    <row r="409" spans="1:8" ht="17" thickBot="1" x14ac:dyDescent="0.25">
      <c r="A409" s="286" t="s">
        <v>198</v>
      </c>
      <c r="B409" s="150"/>
      <c r="C409" s="150"/>
      <c r="D409" s="150"/>
      <c r="E409" s="150"/>
      <c r="F409" s="150"/>
      <c r="G409" s="150"/>
      <c r="H409" s="151"/>
    </row>
    <row r="411" spans="1:8" x14ac:dyDescent="0.2">
      <c r="A411" s="283" t="s">
        <v>1609</v>
      </c>
    </row>
    <row r="412" spans="1:8" x14ac:dyDescent="0.2">
      <c r="A412" s="283" t="s">
        <v>1610</v>
      </c>
    </row>
    <row r="413" spans="1:8" x14ac:dyDescent="0.2">
      <c r="A413" s="283" t="s">
        <v>3056</v>
      </c>
    </row>
    <row r="415" spans="1:8" x14ac:dyDescent="0.2">
      <c r="A415" s="282" t="s">
        <v>386</v>
      </c>
    </row>
    <row r="416" spans="1:8" x14ac:dyDescent="0.2">
      <c r="A416" s="289" t="s">
        <v>1601</v>
      </c>
      <c r="B416" s="262"/>
      <c r="C416" s="262"/>
      <c r="D416" s="262"/>
      <c r="E416" s="262"/>
      <c r="F416" s="262"/>
      <c r="G416" s="262"/>
      <c r="H416" s="262"/>
    </row>
    <row r="417" spans="1:8" x14ac:dyDescent="0.2">
      <c r="A417" s="289" t="s">
        <v>1602</v>
      </c>
      <c r="B417" s="262"/>
      <c r="C417" s="262"/>
      <c r="D417" s="262"/>
      <c r="E417" s="262"/>
      <c r="F417" s="262"/>
      <c r="G417" s="262"/>
      <c r="H417" s="262"/>
    </row>
    <row r="418" spans="1:8" x14ac:dyDescent="0.2">
      <c r="A418" s="289" t="s">
        <v>1603</v>
      </c>
      <c r="B418" s="262"/>
      <c r="C418" s="262"/>
      <c r="D418" s="262"/>
      <c r="E418" s="262"/>
      <c r="F418" s="262"/>
      <c r="G418" s="262"/>
      <c r="H418" s="262"/>
    </row>
    <row r="419" spans="1:8" x14ac:dyDescent="0.2">
      <c r="A419" s="289" t="s">
        <v>1604</v>
      </c>
      <c r="B419" s="262"/>
      <c r="C419" s="262"/>
      <c r="D419" s="262"/>
      <c r="E419" s="262"/>
      <c r="F419" s="262"/>
      <c r="G419" s="262"/>
      <c r="H419" s="262"/>
    </row>
    <row r="420" spans="1:8" x14ac:dyDescent="0.2">
      <c r="A420" s="289" t="s">
        <v>1605</v>
      </c>
      <c r="B420" s="262"/>
      <c r="C420" s="262"/>
      <c r="D420" s="262"/>
      <c r="E420" s="262"/>
      <c r="F420" s="262"/>
      <c r="G420" s="262"/>
      <c r="H420" s="262"/>
    </row>
    <row r="421" spans="1:8" x14ac:dyDescent="0.2">
      <c r="A421" s="289" t="s">
        <v>1606</v>
      </c>
      <c r="B421" s="262"/>
      <c r="C421" s="262"/>
      <c r="D421" s="262"/>
      <c r="E421" s="262"/>
      <c r="F421" s="262"/>
      <c r="G421" s="262"/>
      <c r="H421" s="262"/>
    </row>
    <row r="422" spans="1:8" x14ac:dyDescent="0.2">
      <c r="A422" s="289" t="s">
        <v>1607</v>
      </c>
      <c r="B422" s="262"/>
      <c r="C422" s="262"/>
      <c r="D422" s="262"/>
      <c r="E422" s="262"/>
      <c r="F422" s="262"/>
      <c r="G422" s="262"/>
      <c r="H422" s="262"/>
    </row>
    <row r="423" spans="1:8" x14ac:dyDescent="0.2">
      <c r="A423" s="282"/>
    </row>
    <row r="424" spans="1:8" x14ac:dyDescent="0.2">
      <c r="F424" s="1" t="s">
        <v>1564</v>
      </c>
    </row>
    <row r="426" spans="1:8" x14ac:dyDescent="0.2">
      <c r="A426" s="283" t="s">
        <v>1522</v>
      </c>
    </row>
    <row r="427" spans="1:8" x14ac:dyDescent="0.2">
      <c r="D427" s="1" t="s">
        <v>1084</v>
      </c>
      <c r="E427" s="1" t="s">
        <v>1611</v>
      </c>
      <c r="G427" s="12">
        <v>1000000</v>
      </c>
    </row>
    <row r="428" spans="1:8" x14ac:dyDescent="0.2">
      <c r="D428" s="1" t="s">
        <v>1429</v>
      </c>
      <c r="E428" s="1" t="s">
        <v>1612</v>
      </c>
      <c r="G428" s="11">
        <v>0.1</v>
      </c>
    </row>
    <row r="429" spans="1:8" x14ac:dyDescent="0.2">
      <c r="D429" s="1" t="s">
        <v>1427</v>
      </c>
      <c r="E429" s="1" t="s">
        <v>1613</v>
      </c>
      <c r="G429" s="11">
        <v>0.2</v>
      </c>
    </row>
    <row r="430" spans="1:8" x14ac:dyDescent="0.2">
      <c r="D430" s="1" t="s">
        <v>1435</v>
      </c>
      <c r="E430" s="1" t="s">
        <v>1614</v>
      </c>
      <c r="G430" s="11">
        <v>0.23</v>
      </c>
    </row>
    <row r="432" spans="1:8" x14ac:dyDescent="0.2">
      <c r="A432" s="283" t="s">
        <v>1530</v>
      </c>
      <c r="F432" s="1" t="s">
        <v>1615</v>
      </c>
    </row>
    <row r="434" spans="1:6" x14ac:dyDescent="0.2">
      <c r="A434" s="283" t="s">
        <v>1616</v>
      </c>
    </row>
    <row r="435" spans="1:6" x14ac:dyDescent="0.2">
      <c r="F435" s="1" t="s">
        <v>1440</v>
      </c>
    </row>
    <row r="436" spans="1:6" x14ac:dyDescent="0.2">
      <c r="C436" s="1" t="s">
        <v>1522</v>
      </c>
    </row>
    <row r="437" spans="1:6" x14ac:dyDescent="0.2">
      <c r="C437" s="1" t="s">
        <v>582</v>
      </c>
      <c r="D437" s="1" t="s">
        <v>1617</v>
      </c>
      <c r="E437" s="1" t="s">
        <v>1618</v>
      </c>
    </row>
    <row r="438" spans="1:6" x14ac:dyDescent="0.2">
      <c r="C438" s="1" t="s">
        <v>1427</v>
      </c>
      <c r="D438" s="11" t="s">
        <v>1619</v>
      </c>
    </row>
    <row r="439" spans="1:6" x14ac:dyDescent="0.2">
      <c r="C439" s="1" t="s">
        <v>552</v>
      </c>
      <c r="D439" s="1" t="s">
        <v>1620</v>
      </c>
    </row>
    <row r="441" spans="1:6" x14ac:dyDescent="0.2">
      <c r="D441" s="122">
        <f>8/17%</f>
        <v>47.058823529411761</v>
      </c>
      <c r="F441" s="1" t="s">
        <v>1621</v>
      </c>
    </row>
    <row r="443" spans="1:6" x14ac:dyDescent="0.2">
      <c r="A443" s="283" t="s">
        <v>1622</v>
      </c>
    </row>
    <row r="444" spans="1:6" x14ac:dyDescent="0.2">
      <c r="D444" s="174">
        <f>D441*100000</f>
        <v>4705882.3529411759</v>
      </c>
      <c r="F444" s="1" t="s">
        <v>1623</v>
      </c>
    </row>
    <row r="446" spans="1:6" x14ac:dyDescent="0.2">
      <c r="A446" s="283" t="s">
        <v>1624</v>
      </c>
    </row>
    <row r="447" spans="1:6" x14ac:dyDescent="0.2">
      <c r="C447" s="277">
        <f>G427+D444</f>
        <v>5705882.3529411759</v>
      </c>
      <c r="F447" s="1" t="s">
        <v>1625</v>
      </c>
    </row>
    <row r="449" spans="1:6" x14ac:dyDescent="0.2">
      <c r="A449" s="283" t="s">
        <v>1626</v>
      </c>
    </row>
    <row r="450" spans="1:6" x14ac:dyDescent="0.2">
      <c r="F450" s="1" t="s">
        <v>1615</v>
      </c>
    </row>
    <row r="451" spans="1:6" x14ac:dyDescent="0.2">
      <c r="F451" s="1" t="s">
        <v>1627</v>
      </c>
    </row>
    <row r="452" spans="1:6" x14ac:dyDescent="0.2">
      <c r="E452" s="88">
        <f>0.2*D444/C447+0.1*0.77*G427/C447</f>
        <v>0.17844329896907216</v>
      </c>
      <c r="F452" s="1" t="s">
        <v>1544</v>
      </c>
    </row>
    <row r="454" spans="1:6" x14ac:dyDescent="0.2">
      <c r="A454" s="283" t="s">
        <v>1628</v>
      </c>
    </row>
    <row r="455" spans="1:6" x14ac:dyDescent="0.2">
      <c r="A455" s="289" t="s">
        <v>1606</v>
      </c>
    </row>
    <row r="456" spans="1:6" x14ac:dyDescent="0.2">
      <c r="A456" s="289" t="s">
        <v>1607</v>
      </c>
    </row>
    <row r="458" spans="1:6" x14ac:dyDescent="0.2">
      <c r="A458" s="283" t="s">
        <v>1629</v>
      </c>
      <c r="B458" s="1" t="s">
        <v>35</v>
      </c>
      <c r="C458" s="1" t="s">
        <v>52</v>
      </c>
    </row>
    <row r="459" spans="1:6" x14ac:dyDescent="0.2">
      <c r="A459" s="283" t="s">
        <v>1630</v>
      </c>
      <c r="B459" s="1">
        <v>0</v>
      </c>
      <c r="C459" s="1">
        <v>-70000</v>
      </c>
    </row>
    <row r="460" spans="1:6" x14ac:dyDescent="0.2">
      <c r="A460" s="283" t="s">
        <v>1631</v>
      </c>
      <c r="B460" s="1">
        <v>1</v>
      </c>
      <c r="C460" s="1">
        <v>0</v>
      </c>
    </row>
    <row r="461" spans="1:6" x14ac:dyDescent="0.2">
      <c r="A461" s="283" t="s">
        <v>1631</v>
      </c>
      <c r="B461" s="1">
        <v>2</v>
      </c>
      <c r="C461" s="1">
        <v>0</v>
      </c>
    </row>
    <row r="462" spans="1:6" x14ac:dyDescent="0.2">
      <c r="A462" s="283" t="s">
        <v>1631</v>
      </c>
      <c r="B462" s="1">
        <v>3</v>
      </c>
      <c r="C462" s="1">
        <v>0</v>
      </c>
    </row>
    <row r="463" spans="1:6" x14ac:dyDescent="0.2">
      <c r="A463" s="283">
        <v>1</v>
      </c>
      <c r="B463" s="1">
        <v>4</v>
      </c>
      <c r="C463" s="1">
        <v>20000</v>
      </c>
    </row>
    <row r="464" spans="1:6" x14ac:dyDescent="0.2">
      <c r="A464" s="283">
        <v>2</v>
      </c>
      <c r="B464" s="1">
        <f t="shared" ref="B464:B470" si="3">B463+1</f>
        <v>5</v>
      </c>
      <c r="C464" s="1">
        <f t="shared" ref="C464:C470" si="4">C463</f>
        <v>20000</v>
      </c>
    </row>
    <row r="465" spans="1:9" x14ac:dyDescent="0.2">
      <c r="A465" s="283">
        <v>3</v>
      </c>
      <c r="B465" s="1">
        <f t="shared" si="3"/>
        <v>6</v>
      </c>
      <c r="C465" s="1">
        <f t="shared" si="4"/>
        <v>20000</v>
      </c>
    </row>
    <row r="466" spans="1:9" x14ac:dyDescent="0.2">
      <c r="A466" s="283">
        <v>4</v>
      </c>
      <c r="B466" s="1">
        <f t="shared" si="3"/>
        <v>7</v>
      </c>
      <c r="C466" s="1">
        <f t="shared" si="4"/>
        <v>20000</v>
      </c>
    </row>
    <row r="467" spans="1:9" x14ac:dyDescent="0.2">
      <c r="A467" s="283">
        <v>5</v>
      </c>
      <c r="B467" s="1">
        <f t="shared" si="3"/>
        <v>8</v>
      </c>
      <c r="C467" s="1">
        <f t="shared" si="4"/>
        <v>20000</v>
      </c>
    </row>
    <row r="468" spans="1:9" x14ac:dyDescent="0.2">
      <c r="A468" s="283">
        <v>6</v>
      </c>
      <c r="B468" s="1">
        <f t="shared" si="3"/>
        <v>9</v>
      </c>
      <c r="C468" s="1">
        <f t="shared" si="4"/>
        <v>20000</v>
      </c>
    </row>
    <row r="469" spans="1:9" x14ac:dyDescent="0.2">
      <c r="A469" s="283">
        <v>7</v>
      </c>
      <c r="B469" s="1">
        <f t="shared" si="3"/>
        <v>10</v>
      </c>
      <c r="C469" s="1">
        <f t="shared" si="4"/>
        <v>20000</v>
      </c>
    </row>
    <row r="470" spans="1:9" x14ac:dyDescent="0.2">
      <c r="A470" s="283">
        <v>8</v>
      </c>
      <c r="B470" s="1">
        <f t="shared" si="3"/>
        <v>11</v>
      </c>
      <c r="C470" s="1">
        <f t="shared" si="4"/>
        <v>20000</v>
      </c>
    </row>
    <row r="472" spans="1:9" x14ac:dyDescent="0.2">
      <c r="C472" s="263">
        <f>IRR(C459:C470)</f>
        <v>0.12165393326822627</v>
      </c>
      <c r="D472" s="1" t="s">
        <v>1632</v>
      </c>
      <c r="E472" s="1" t="s">
        <v>1633</v>
      </c>
    </row>
    <row r="474" spans="1:9" x14ac:dyDescent="0.2">
      <c r="A474" s="283" t="s">
        <v>3057</v>
      </c>
    </row>
    <row r="475" spans="1:9" x14ac:dyDescent="0.2">
      <c r="A475" s="283" t="s">
        <v>3058</v>
      </c>
    </row>
    <row r="477" spans="1:9" x14ac:dyDescent="0.2">
      <c r="A477" s="285" t="s">
        <v>1634</v>
      </c>
      <c r="B477" s="152"/>
      <c r="C477" s="152"/>
      <c r="D477" s="152"/>
      <c r="E477" s="152"/>
      <c r="F477" s="278"/>
      <c r="G477" s="152"/>
      <c r="H477" s="152"/>
      <c r="I477" s="13" t="s">
        <v>3067</v>
      </c>
    </row>
    <row r="478" spans="1:9" x14ac:dyDescent="0.2">
      <c r="A478" s="283" t="s">
        <v>1635</v>
      </c>
    </row>
    <row r="479" spans="1:9" x14ac:dyDescent="0.2">
      <c r="A479" s="283" t="s">
        <v>1636</v>
      </c>
    </row>
    <row r="480" spans="1:9" x14ac:dyDescent="0.2">
      <c r="A480" s="283" t="s">
        <v>1637</v>
      </c>
    </row>
    <row r="481" spans="1:8" x14ac:dyDescent="0.2">
      <c r="A481" s="283" t="s">
        <v>1638</v>
      </c>
    </row>
    <row r="482" spans="1:8" x14ac:dyDescent="0.2">
      <c r="A482" s="283" t="s">
        <v>1639</v>
      </c>
    </row>
    <row r="483" spans="1:8" x14ac:dyDescent="0.2">
      <c r="A483" s="283" t="s">
        <v>1640</v>
      </c>
    </row>
    <row r="485" spans="1:8" x14ac:dyDescent="0.2">
      <c r="A485" s="283" t="s">
        <v>282</v>
      </c>
    </row>
    <row r="486" spans="1:8" x14ac:dyDescent="0.2">
      <c r="A486" s="283" t="s">
        <v>1641</v>
      </c>
    </row>
    <row r="487" spans="1:8" ht="17" thickBot="1" x14ac:dyDescent="0.25"/>
    <row r="488" spans="1:8" ht="17" thickBot="1" x14ac:dyDescent="0.25">
      <c r="A488" s="286" t="s">
        <v>198</v>
      </c>
      <c r="B488" s="150"/>
      <c r="C488" s="150"/>
      <c r="D488" s="150"/>
      <c r="E488" s="150"/>
      <c r="F488" s="150"/>
      <c r="G488" s="150"/>
      <c r="H488" s="151"/>
    </row>
    <row r="490" spans="1:8" x14ac:dyDescent="0.2">
      <c r="A490" s="283" t="s">
        <v>1609</v>
      </c>
    </row>
    <row r="491" spans="1:8" x14ac:dyDescent="0.2">
      <c r="A491" s="283" t="s">
        <v>1610</v>
      </c>
    </row>
    <row r="493" spans="1:8" x14ac:dyDescent="0.2">
      <c r="A493" s="282" t="s">
        <v>386</v>
      </c>
    </row>
    <row r="494" spans="1:8" x14ac:dyDescent="0.2">
      <c r="F494" s="1" t="s">
        <v>1564</v>
      </c>
    </row>
    <row r="496" spans="1:8" x14ac:dyDescent="0.2">
      <c r="A496" s="283" t="s">
        <v>1522</v>
      </c>
    </row>
    <row r="497" spans="1:8" x14ac:dyDescent="0.2">
      <c r="A497" s="283" t="s">
        <v>1084</v>
      </c>
      <c r="B497" s="1" t="s">
        <v>1642</v>
      </c>
      <c r="F497" s="12">
        <f>105*100000</f>
        <v>10500000</v>
      </c>
      <c r="H497" s="1" t="s">
        <v>1643</v>
      </c>
    </row>
    <row r="498" spans="1:8" x14ac:dyDescent="0.2">
      <c r="A498" s="283" t="s">
        <v>1435</v>
      </c>
      <c r="B498" s="1" t="s">
        <v>1614</v>
      </c>
      <c r="F498" s="11">
        <v>0.25</v>
      </c>
    </row>
    <row r="500" spans="1:8" x14ac:dyDescent="0.2">
      <c r="A500" s="283" t="s">
        <v>1530</v>
      </c>
      <c r="F500" s="1" t="s">
        <v>1644</v>
      </c>
    </row>
    <row r="502" spans="1:8" x14ac:dyDescent="0.2">
      <c r="A502" s="283" t="s">
        <v>1645</v>
      </c>
    </row>
    <row r="504" spans="1:8" x14ac:dyDescent="0.2">
      <c r="A504" s="283" t="s">
        <v>1646</v>
      </c>
    </row>
    <row r="505" spans="1:8" x14ac:dyDescent="0.2">
      <c r="A505" s="283" t="s">
        <v>1647</v>
      </c>
    </row>
    <row r="506" spans="1:8" x14ac:dyDescent="0.2">
      <c r="A506" s="283" t="s">
        <v>1648</v>
      </c>
    </row>
    <row r="507" spans="1:8" x14ac:dyDescent="0.2">
      <c r="A507" s="283" t="s">
        <v>1649</v>
      </c>
    </row>
    <row r="508" spans="1:8" x14ac:dyDescent="0.2">
      <c r="F508" s="1" t="s">
        <v>1464</v>
      </c>
    </row>
    <row r="509" spans="1:8" x14ac:dyDescent="0.2">
      <c r="A509" s="283" t="s">
        <v>1522</v>
      </c>
    </row>
    <row r="510" spans="1:8" x14ac:dyDescent="0.2">
      <c r="B510" s="1" t="s">
        <v>1002</v>
      </c>
      <c r="C510" s="1" t="s">
        <v>1650</v>
      </c>
      <c r="F510" s="11">
        <v>0.05</v>
      </c>
    </row>
    <row r="511" spans="1:8" x14ac:dyDescent="0.2">
      <c r="B511" s="1" t="s">
        <v>1004</v>
      </c>
      <c r="C511" s="1" t="s">
        <v>1651</v>
      </c>
      <c r="F511" s="11">
        <v>0.2</v>
      </c>
    </row>
    <row r="512" spans="1:8" x14ac:dyDescent="0.2">
      <c r="B512" s="1" t="s">
        <v>1006</v>
      </c>
      <c r="C512" s="1" t="s">
        <v>1652</v>
      </c>
      <c r="F512" s="1">
        <v>1.2</v>
      </c>
    </row>
    <row r="514" spans="1:6" x14ac:dyDescent="0.2">
      <c r="A514" s="283" t="s">
        <v>1653</v>
      </c>
    </row>
    <row r="515" spans="1:6" x14ac:dyDescent="0.2">
      <c r="D515" s="264">
        <f>5%+15%*1.2</f>
        <v>0.22999999999999998</v>
      </c>
      <c r="F515" s="1" t="s">
        <v>1654</v>
      </c>
    </row>
    <row r="517" spans="1:6" x14ac:dyDescent="0.2">
      <c r="A517" s="283" t="s">
        <v>1655</v>
      </c>
    </row>
    <row r="518" spans="1:6" x14ac:dyDescent="0.2">
      <c r="A518" s="283" t="s">
        <v>1656</v>
      </c>
    </row>
    <row r="519" spans="1:6" x14ac:dyDescent="0.2">
      <c r="A519" s="283" t="s">
        <v>1657</v>
      </c>
    </row>
    <row r="521" spans="1:6" x14ac:dyDescent="0.2">
      <c r="F521" s="1" t="s">
        <v>1440</v>
      </c>
    </row>
    <row r="522" spans="1:6" x14ac:dyDescent="0.2">
      <c r="C522" s="1" t="s">
        <v>1522</v>
      </c>
    </row>
    <row r="523" spans="1:6" x14ac:dyDescent="0.2">
      <c r="C523" s="1" t="s">
        <v>582</v>
      </c>
      <c r="D523" s="1">
        <v>12</v>
      </c>
      <c r="E523" s="1" t="s">
        <v>1658</v>
      </c>
    </row>
    <row r="524" spans="1:6" x14ac:dyDescent="0.2">
      <c r="C524" s="1" t="s">
        <v>1427</v>
      </c>
      <c r="D524" s="11">
        <f>D515</f>
        <v>0.22999999999999998</v>
      </c>
      <c r="E524" s="1" t="s">
        <v>1659</v>
      </c>
    </row>
    <row r="525" spans="1:6" x14ac:dyDescent="0.2">
      <c r="C525" s="1" t="s">
        <v>552</v>
      </c>
      <c r="D525" s="1" t="s">
        <v>1660</v>
      </c>
    </row>
    <row r="527" spans="1:6" x14ac:dyDescent="0.2">
      <c r="D527" s="122">
        <f>12/23%</f>
        <v>52.173913043478258</v>
      </c>
      <c r="F527" s="1" t="s">
        <v>1661</v>
      </c>
    </row>
    <row r="529" spans="1:7" x14ac:dyDescent="0.2">
      <c r="A529" s="283" t="s">
        <v>3059</v>
      </c>
    </row>
    <row r="530" spans="1:7" x14ac:dyDescent="0.2">
      <c r="D530" s="265">
        <f>D527*50000</f>
        <v>2608695.6521739131</v>
      </c>
      <c r="F530" s="1" t="s">
        <v>1662</v>
      </c>
    </row>
    <row r="532" spans="1:7" x14ac:dyDescent="0.2">
      <c r="A532" s="283" t="s">
        <v>1663</v>
      </c>
    </row>
    <row r="534" spans="1:7" x14ac:dyDescent="0.2">
      <c r="D534" s="265">
        <f>100000*105</f>
        <v>10500000</v>
      </c>
      <c r="F534" s="1" t="s">
        <v>1664</v>
      </c>
    </row>
    <row r="536" spans="1:7" x14ac:dyDescent="0.2">
      <c r="A536" s="283" t="s">
        <v>1665</v>
      </c>
    </row>
    <row r="537" spans="1:7" x14ac:dyDescent="0.2">
      <c r="A537" s="283" t="s">
        <v>1666</v>
      </c>
    </row>
    <row r="538" spans="1:7" x14ac:dyDescent="0.2">
      <c r="D538" s="266">
        <f>10%*100/105</f>
        <v>9.5238095238095233E-2</v>
      </c>
      <c r="F538" s="1" t="s">
        <v>1667</v>
      </c>
    </row>
    <row r="540" spans="1:7" x14ac:dyDescent="0.2">
      <c r="A540" s="283" t="s">
        <v>1624</v>
      </c>
    </row>
    <row r="541" spans="1:7" x14ac:dyDescent="0.2">
      <c r="C541" s="265">
        <f>D530+D534</f>
        <v>13108695.652173914</v>
      </c>
      <c r="F541" s="1" t="s">
        <v>1668</v>
      </c>
    </row>
    <row r="543" spans="1:7" x14ac:dyDescent="0.2">
      <c r="A543" s="283" t="s">
        <v>1626</v>
      </c>
    </row>
    <row r="544" spans="1:7" x14ac:dyDescent="0.2">
      <c r="G544" s="1" t="s">
        <v>1644</v>
      </c>
    </row>
    <row r="545" spans="1:8" x14ac:dyDescent="0.2">
      <c r="G545" s="1" t="s">
        <v>1669</v>
      </c>
    </row>
    <row r="546" spans="1:8" x14ac:dyDescent="0.2">
      <c r="E546" s="88">
        <f>D524*D530/C541+D538*(1-25%)*D534/C541</f>
        <v>0.10298507462686567</v>
      </c>
      <c r="G546" s="1" t="s">
        <v>1544</v>
      </c>
    </row>
    <row r="548" spans="1:8" x14ac:dyDescent="0.2">
      <c r="A548" s="292" t="s">
        <v>896</v>
      </c>
      <c r="B548" s="15" t="s">
        <v>1670</v>
      </c>
      <c r="C548" s="15"/>
      <c r="D548" s="15"/>
      <c r="E548" s="15"/>
      <c r="F548" s="15"/>
      <c r="G548" s="15"/>
      <c r="H548" s="15"/>
    </row>
    <row r="549" spans="1:8" x14ac:dyDescent="0.2">
      <c r="A549" s="293"/>
      <c r="B549" s="15" t="s">
        <v>1671</v>
      </c>
      <c r="C549" s="15"/>
      <c r="D549" s="15"/>
      <c r="E549" s="15"/>
      <c r="F549" s="15"/>
      <c r="G549" s="15"/>
      <c r="H549" s="15"/>
    </row>
    <row r="550" spans="1:8" x14ac:dyDescent="0.2">
      <c r="A550" s="293"/>
      <c r="B550" s="15" t="s">
        <v>1672</v>
      </c>
      <c r="C550" s="15"/>
      <c r="D550" s="15"/>
      <c r="E550" s="15"/>
      <c r="F550" s="15"/>
      <c r="G550" s="15"/>
      <c r="H550" s="15"/>
    </row>
    <row r="551" spans="1:8" x14ac:dyDescent="0.2">
      <c r="A551" s="293"/>
      <c r="B551" s="15" t="s">
        <v>1673</v>
      </c>
      <c r="C551" s="15"/>
      <c r="D551" s="15"/>
      <c r="E551" s="15"/>
      <c r="F551" s="15"/>
      <c r="G551" s="15"/>
      <c r="H551" s="15"/>
    </row>
    <row r="552" spans="1:8" x14ac:dyDescent="0.2">
      <c r="A552" s="293"/>
      <c r="B552" s="15"/>
      <c r="C552" s="15"/>
      <c r="D552" s="15"/>
      <c r="E552" s="15"/>
      <c r="F552" s="15" t="s">
        <v>1440</v>
      </c>
      <c r="G552" s="15"/>
      <c r="H552" s="15"/>
    </row>
    <row r="553" spans="1:8" x14ac:dyDescent="0.2">
      <c r="A553" s="293"/>
      <c r="B553" s="15" t="s">
        <v>1674</v>
      </c>
      <c r="C553" s="15"/>
      <c r="D553" s="15"/>
      <c r="E553" s="15"/>
      <c r="F553" s="15"/>
      <c r="G553" s="15"/>
      <c r="H553" s="15"/>
    </row>
    <row r="554" spans="1:8" x14ac:dyDescent="0.2">
      <c r="A554" s="293"/>
      <c r="B554" s="15"/>
      <c r="C554" s="15"/>
      <c r="D554" s="15"/>
      <c r="E554" s="15"/>
      <c r="F554" s="15" t="s">
        <v>1675</v>
      </c>
      <c r="G554" s="15"/>
      <c r="H554" s="15"/>
    </row>
    <row r="555" spans="1:8" x14ac:dyDescent="0.2">
      <c r="A555" s="293"/>
      <c r="B555" s="15" t="s">
        <v>1676</v>
      </c>
      <c r="C555" s="15"/>
      <c r="D555" s="15"/>
      <c r="E555" s="15"/>
      <c r="F555" s="15"/>
      <c r="G555" s="15"/>
      <c r="H555" s="15"/>
    </row>
    <row r="556" spans="1:8" x14ac:dyDescent="0.2">
      <c r="A556" s="293"/>
      <c r="B556" s="15"/>
      <c r="C556" s="15"/>
      <c r="D556" s="15"/>
      <c r="E556" s="15"/>
      <c r="F556" s="15"/>
      <c r="G556" s="15"/>
      <c r="H556" s="15"/>
    </row>
    <row r="559" spans="1:8" x14ac:dyDescent="0.2">
      <c r="A559" s="228" t="s">
        <v>1677</v>
      </c>
      <c r="B559" s="228"/>
      <c r="C559" s="228"/>
      <c r="D559" s="228"/>
      <c r="E559" s="229"/>
      <c r="F559" s="229"/>
      <c r="G559" s="229"/>
      <c r="H559" s="229" t="s">
        <v>1678</v>
      </c>
    </row>
    <row r="560" spans="1:8" x14ac:dyDescent="0.2">
      <c r="A560" s="224" t="s">
        <v>1679</v>
      </c>
      <c r="B560" s="224"/>
      <c r="C560" s="224"/>
      <c r="D560" s="224"/>
      <c r="E560" s="224"/>
      <c r="F560" s="224"/>
      <c r="G560" s="224"/>
      <c r="H560" s="224"/>
    </row>
    <row r="561" spans="1:8" x14ac:dyDescent="0.2">
      <c r="A561" s="224" t="s">
        <v>1680</v>
      </c>
      <c r="B561" s="224"/>
      <c r="C561" s="224"/>
      <c r="D561" s="224"/>
      <c r="E561" s="224"/>
      <c r="F561" s="224"/>
      <c r="G561" s="225"/>
      <c r="H561" s="225"/>
    </row>
    <row r="562" spans="1:8" x14ac:dyDescent="0.2">
      <c r="A562" s="224"/>
      <c r="B562" s="225"/>
      <c r="C562" s="225"/>
      <c r="D562" s="225"/>
      <c r="E562" s="225"/>
      <c r="F562" s="225"/>
      <c r="G562" s="225"/>
      <c r="H562" s="225"/>
    </row>
    <row r="563" spans="1:8" x14ac:dyDescent="0.2">
      <c r="A563" s="224"/>
      <c r="B563" s="225"/>
      <c r="C563" s="225"/>
      <c r="D563" s="230" t="s">
        <v>919</v>
      </c>
      <c r="E563" s="230" t="s">
        <v>52</v>
      </c>
      <c r="F563" s="225"/>
      <c r="G563" s="225"/>
      <c r="H563" s="225"/>
    </row>
    <row r="564" spans="1:8" x14ac:dyDescent="0.2">
      <c r="A564" s="224"/>
      <c r="B564" s="225"/>
      <c r="C564" s="225"/>
      <c r="D564" s="231">
        <v>0</v>
      </c>
      <c r="E564" s="231">
        <v>-200</v>
      </c>
      <c r="F564" s="225"/>
      <c r="G564" s="225"/>
      <c r="H564" s="225"/>
    </row>
    <row r="565" spans="1:8" x14ac:dyDescent="0.2">
      <c r="A565" s="224"/>
      <c r="B565" s="225"/>
      <c r="C565" s="225"/>
      <c r="D565" s="231">
        <v>1</v>
      </c>
      <c r="E565" s="231">
        <v>-200</v>
      </c>
      <c r="F565" s="225"/>
      <c r="G565" s="225"/>
      <c r="H565" s="225"/>
    </row>
    <row r="566" spans="1:8" x14ac:dyDescent="0.2">
      <c r="A566" s="224"/>
      <c r="B566" s="225"/>
      <c r="C566" s="225"/>
      <c r="D566" s="231">
        <v>2</v>
      </c>
      <c r="E566" s="231">
        <v>100</v>
      </c>
      <c r="F566" s="225"/>
      <c r="G566" s="225"/>
      <c r="H566" s="225"/>
    </row>
    <row r="567" spans="1:8" x14ac:dyDescent="0.2">
      <c r="A567" s="224"/>
      <c r="B567" s="225"/>
      <c r="C567" s="225"/>
      <c r="D567" s="231">
        <v>3</v>
      </c>
      <c r="E567" s="231">
        <v>300</v>
      </c>
      <c r="F567" s="225"/>
      <c r="G567" s="225"/>
      <c r="H567" s="225"/>
    </row>
    <row r="568" spans="1:8" x14ac:dyDescent="0.2">
      <c r="A568" s="224"/>
      <c r="B568" s="225"/>
      <c r="C568" s="225"/>
      <c r="D568" s="231">
        <v>4</v>
      </c>
      <c r="E568" s="231">
        <v>400</v>
      </c>
      <c r="F568" s="225"/>
      <c r="G568" s="225"/>
      <c r="H568" s="225"/>
    </row>
    <row r="569" spans="1:8" x14ac:dyDescent="0.2">
      <c r="A569" s="224"/>
      <c r="B569" s="225"/>
      <c r="C569" s="225"/>
      <c r="D569" s="231">
        <v>5</v>
      </c>
      <c r="E569" s="231">
        <v>800</v>
      </c>
      <c r="F569" s="225"/>
      <c r="G569" s="232"/>
      <c r="H569" s="225"/>
    </row>
    <row r="570" spans="1:8" x14ac:dyDescent="0.2">
      <c r="A570" s="224"/>
      <c r="B570" s="225"/>
      <c r="C570" s="225"/>
      <c r="D570" s="225"/>
      <c r="E570" s="225"/>
      <c r="F570" s="225"/>
      <c r="G570" s="225"/>
      <c r="H570" s="225"/>
    </row>
    <row r="571" spans="1:8" x14ac:dyDescent="0.2">
      <c r="A571" s="224" t="s">
        <v>1509</v>
      </c>
      <c r="B571" s="225"/>
      <c r="C571" s="225"/>
      <c r="D571" s="225"/>
      <c r="E571" s="225"/>
      <c r="F571" s="225"/>
      <c r="G571" s="225"/>
      <c r="H571" s="225"/>
    </row>
    <row r="572" spans="1:8" x14ac:dyDescent="0.2">
      <c r="A572" s="224" t="s">
        <v>1681</v>
      </c>
      <c r="B572" s="224"/>
      <c r="C572" s="224"/>
      <c r="D572" s="224"/>
      <c r="E572" s="224"/>
      <c r="F572" s="225"/>
      <c r="G572" s="225"/>
      <c r="H572" s="225"/>
    </row>
    <row r="573" spans="1:8" x14ac:dyDescent="0.2">
      <c r="A573" s="224" t="s">
        <v>1682</v>
      </c>
      <c r="B573" s="224"/>
      <c r="C573" s="224"/>
      <c r="D573" s="224"/>
      <c r="E573" s="224"/>
      <c r="F573" s="224"/>
      <c r="G573" s="224"/>
      <c r="H573" s="224"/>
    </row>
    <row r="574" spans="1:8" x14ac:dyDescent="0.2">
      <c r="A574" s="224" t="s">
        <v>1683</v>
      </c>
      <c r="B574" s="224"/>
      <c r="C574" s="224"/>
      <c r="D574" s="224"/>
      <c r="E574" s="225"/>
      <c r="F574" s="225"/>
      <c r="G574" s="225"/>
      <c r="H574" s="225"/>
    </row>
    <row r="575" spans="1:8" x14ac:dyDescent="0.2">
      <c r="A575" s="224"/>
      <c r="B575" s="225"/>
      <c r="C575" s="225"/>
      <c r="D575" s="225"/>
      <c r="E575" s="225"/>
      <c r="F575" s="225"/>
      <c r="G575" s="225"/>
      <c r="H575" s="225"/>
    </row>
    <row r="576" spans="1:8" x14ac:dyDescent="0.2">
      <c r="A576" s="224" t="s">
        <v>1684</v>
      </c>
      <c r="B576" s="224"/>
      <c r="C576" s="224"/>
      <c r="D576" s="224"/>
      <c r="E576" s="224"/>
      <c r="F576" s="224"/>
      <c r="G576" s="224"/>
      <c r="H576" s="224"/>
    </row>
    <row r="577" spans="1:8" x14ac:dyDescent="0.2">
      <c r="A577" s="224" t="s">
        <v>1685</v>
      </c>
      <c r="B577" s="224"/>
      <c r="C577" s="224"/>
      <c r="D577" s="224"/>
      <c r="E577" s="225"/>
      <c r="F577" s="225"/>
      <c r="G577" s="225"/>
      <c r="H577" s="225"/>
    </row>
    <row r="578" spans="1:8" x14ac:dyDescent="0.2">
      <c r="A578" s="224"/>
      <c r="B578" s="225"/>
      <c r="C578" s="225"/>
      <c r="D578" s="225"/>
      <c r="E578" s="233">
        <f>NPV(6%,E565:E569)+E564</f>
        <v>866.85018721614938</v>
      </c>
      <c r="F578" s="225"/>
      <c r="G578" s="260"/>
      <c r="H578" s="225"/>
    </row>
    <row r="579" spans="1:8" x14ac:dyDescent="0.2">
      <c r="A579" s="224"/>
      <c r="B579" s="225"/>
      <c r="C579" s="225"/>
      <c r="D579" s="225"/>
      <c r="E579" s="225"/>
      <c r="F579" s="225"/>
      <c r="G579" s="225"/>
      <c r="H579" s="225"/>
    </row>
    <row r="580" spans="1:8" x14ac:dyDescent="0.2">
      <c r="A580" s="224" t="s">
        <v>1686</v>
      </c>
      <c r="B580" s="224"/>
      <c r="C580" s="224"/>
      <c r="D580" s="224"/>
      <c r="E580" s="224"/>
      <c r="F580" s="224"/>
      <c r="G580" s="225"/>
      <c r="H580" s="225"/>
    </row>
    <row r="581" spans="1:8" x14ac:dyDescent="0.2">
      <c r="A581" s="224"/>
      <c r="B581" s="225"/>
      <c r="C581" s="225"/>
      <c r="D581" s="225"/>
      <c r="E581" s="233">
        <f>NPV(25%,E565:E569)+E564</f>
        <v>283.584</v>
      </c>
      <c r="F581" s="225"/>
      <c r="G581" s="225"/>
      <c r="H581" s="225"/>
    </row>
    <row r="582" spans="1:8" x14ac:dyDescent="0.2">
      <c r="A582" s="224"/>
      <c r="B582" s="225"/>
      <c r="C582" s="225"/>
      <c r="D582" s="225"/>
      <c r="E582" s="225"/>
      <c r="F582" s="225"/>
      <c r="G582" s="225"/>
      <c r="H582" s="225"/>
    </row>
    <row r="583" spans="1:8" x14ac:dyDescent="0.2">
      <c r="A583" s="234" t="s">
        <v>1687</v>
      </c>
      <c r="B583" s="234"/>
      <c r="C583" s="234"/>
      <c r="D583" s="234"/>
      <c r="E583" s="234"/>
      <c r="F583" s="234"/>
      <c r="G583" s="225"/>
      <c r="H583" s="225"/>
    </row>
    <row r="584" spans="1:8" x14ac:dyDescent="0.2">
      <c r="A584" s="234" t="s">
        <v>1688</v>
      </c>
      <c r="B584" s="234"/>
      <c r="C584" s="234"/>
      <c r="D584" s="234"/>
      <c r="E584" s="234"/>
      <c r="F584" s="234"/>
      <c r="G584" s="225"/>
      <c r="H584" s="225"/>
    </row>
    <row r="585" spans="1:8" x14ac:dyDescent="0.2">
      <c r="A585" s="224"/>
      <c r="B585" s="225"/>
      <c r="C585" s="225"/>
      <c r="D585" s="225"/>
      <c r="E585" s="225"/>
      <c r="F585" s="225"/>
      <c r="G585" s="225"/>
      <c r="H585" s="225"/>
    </row>
    <row r="586" spans="1:8" x14ac:dyDescent="0.2">
      <c r="A586" s="228" t="s">
        <v>1689</v>
      </c>
      <c r="B586" s="228"/>
      <c r="C586" s="228"/>
      <c r="D586" s="228"/>
      <c r="E586" s="229"/>
      <c r="F586" s="229"/>
      <c r="G586" s="229"/>
      <c r="H586" s="229" t="s">
        <v>1678</v>
      </c>
    </row>
    <row r="587" spans="1:8" x14ac:dyDescent="0.2">
      <c r="A587" s="224" t="s">
        <v>1690</v>
      </c>
      <c r="B587" s="224"/>
      <c r="C587" s="224"/>
      <c r="D587" s="224"/>
      <c r="E587" s="224"/>
      <c r="F587" s="224"/>
      <c r="G587" s="224"/>
      <c r="H587" s="224"/>
    </row>
    <row r="588" spans="1:8" x14ac:dyDescent="0.2">
      <c r="A588" s="224" t="s">
        <v>1691</v>
      </c>
      <c r="B588" s="224"/>
      <c r="C588" s="224"/>
      <c r="D588" s="224"/>
      <c r="E588" s="224"/>
      <c r="F588" s="224"/>
      <c r="G588" s="225"/>
      <c r="H588" s="225"/>
    </row>
    <row r="589" spans="1:8" x14ac:dyDescent="0.2">
      <c r="A589" s="224" t="s">
        <v>1692</v>
      </c>
      <c r="B589" s="224"/>
      <c r="C589" s="224"/>
      <c r="D589" s="224"/>
      <c r="E589" s="225"/>
      <c r="F589" s="225"/>
      <c r="G589" s="225"/>
      <c r="H589" s="225"/>
    </row>
    <row r="590" spans="1:8" x14ac:dyDescent="0.2">
      <c r="A590" s="224" t="s">
        <v>1693</v>
      </c>
      <c r="B590" s="224"/>
      <c r="C590" s="224"/>
      <c r="D590" s="224"/>
      <c r="E590" s="225"/>
      <c r="F590" s="225"/>
      <c r="G590" s="225"/>
      <c r="H590" s="225"/>
    </row>
    <row r="591" spans="1:8" x14ac:dyDescent="0.2">
      <c r="A591" s="224" t="s">
        <v>1694</v>
      </c>
      <c r="B591" s="224"/>
      <c r="C591" s="224"/>
      <c r="D591" s="224"/>
      <c r="E591" s="224"/>
      <c r="F591" s="224"/>
      <c r="G591" s="224"/>
      <c r="H591" s="224"/>
    </row>
    <row r="592" spans="1:8" x14ac:dyDescent="0.2">
      <c r="A592" s="224" t="s">
        <v>1695</v>
      </c>
      <c r="B592" s="224"/>
      <c r="C592" s="224"/>
      <c r="D592" s="224"/>
      <c r="E592" s="224"/>
      <c r="F592" s="224"/>
      <c r="G592" s="224"/>
      <c r="H592" s="224"/>
    </row>
    <row r="593" spans="1:8" x14ac:dyDescent="0.2">
      <c r="A593" s="224" t="s">
        <v>1696</v>
      </c>
      <c r="B593" s="224"/>
      <c r="C593" s="225"/>
      <c r="D593" s="225"/>
      <c r="E593" s="225"/>
      <c r="F593" s="225"/>
      <c r="G593" s="225"/>
      <c r="H593" s="225"/>
    </row>
    <row r="594" spans="1:8" x14ac:dyDescent="0.2">
      <c r="A594" s="224"/>
      <c r="B594" s="225"/>
      <c r="C594" s="225"/>
      <c r="D594" s="225"/>
      <c r="E594" s="225"/>
      <c r="F594" s="225"/>
      <c r="G594" s="225"/>
      <c r="H594" s="225"/>
    </row>
    <row r="595" spans="1:8" x14ac:dyDescent="0.2">
      <c r="A595" s="227" t="s">
        <v>198</v>
      </c>
      <c r="B595" s="225"/>
      <c r="C595" s="225"/>
      <c r="D595" s="225"/>
      <c r="E595" s="225"/>
      <c r="F595" s="225"/>
      <c r="G595" s="225"/>
      <c r="H595" s="225"/>
    </row>
    <row r="596" spans="1:8" x14ac:dyDescent="0.2">
      <c r="A596" s="224"/>
      <c r="B596" s="225"/>
      <c r="C596" s="225"/>
      <c r="D596" s="225"/>
      <c r="E596" s="225"/>
      <c r="F596" s="225"/>
      <c r="G596" s="225"/>
      <c r="H596" s="225"/>
    </row>
    <row r="597" spans="1:8" ht="17" thickBot="1" x14ac:dyDescent="0.25">
      <c r="A597" s="224" t="s">
        <v>1697</v>
      </c>
      <c r="B597" s="224"/>
      <c r="C597" s="225"/>
      <c r="D597" s="225"/>
      <c r="E597" s="225"/>
      <c r="F597" s="225"/>
      <c r="G597" s="225"/>
      <c r="H597" s="225"/>
    </row>
    <row r="598" spans="1:8" ht="17" thickBot="1" x14ac:dyDescent="0.25">
      <c r="A598" s="267" t="s">
        <v>1692</v>
      </c>
      <c r="B598" s="235"/>
      <c r="C598" s="235"/>
      <c r="D598" s="235"/>
      <c r="E598" s="268" t="s">
        <v>1698</v>
      </c>
      <c r="F598" s="225"/>
      <c r="G598" s="225"/>
      <c r="H598" s="225"/>
    </row>
    <row r="599" spans="1:8" x14ac:dyDescent="0.2">
      <c r="A599" s="224" t="s">
        <v>1699</v>
      </c>
      <c r="B599" s="225"/>
      <c r="C599" s="225"/>
      <c r="D599" s="225"/>
      <c r="E599" s="225"/>
      <c r="F599" s="225"/>
      <c r="G599" s="225"/>
      <c r="H599" s="225"/>
    </row>
    <row r="600" spans="1:8" x14ac:dyDescent="0.2">
      <c r="A600" s="224"/>
      <c r="B600" s="225"/>
      <c r="C600" s="225"/>
      <c r="D600" s="225"/>
      <c r="E600" s="225"/>
      <c r="F600" s="225"/>
      <c r="G600" s="225"/>
      <c r="H600" s="225"/>
    </row>
    <row r="601" spans="1:8" x14ac:dyDescent="0.2">
      <c r="A601" s="224" t="s">
        <v>1693</v>
      </c>
      <c r="B601" s="224"/>
      <c r="C601" s="224"/>
      <c r="D601" s="224"/>
      <c r="E601" s="224" t="s">
        <v>1700</v>
      </c>
      <c r="F601" s="224"/>
      <c r="G601" s="225"/>
      <c r="H601" s="225"/>
    </row>
    <row r="602" spans="1:8" x14ac:dyDescent="0.2">
      <c r="A602" s="224"/>
      <c r="B602" s="225"/>
      <c r="C602" s="225"/>
      <c r="D602" s="225"/>
      <c r="E602" s="225"/>
      <c r="F602" s="225"/>
      <c r="G602" s="225"/>
      <c r="H602" s="225"/>
    </row>
    <row r="603" spans="1:8" x14ac:dyDescent="0.2">
      <c r="A603" s="224" t="s">
        <v>1694</v>
      </c>
      <c r="B603" s="224"/>
      <c r="C603" s="224"/>
      <c r="D603" s="224"/>
      <c r="E603" s="224"/>
      <c r="F603" s="224"/>
      <c r="G603" s="224"/>
      <c r="H603" s="224"/>
    </row>
    <row r="604" spans="1:8" x14ac:dyDescent="0.2">
      <c r="A604" s="224" t="s">
        <v>1701</v>
      </c>
      <c r="B604" s="225"/>
      <c r="C604" s="225"/>
      <c r="D604" s="225"/>
      <c r="E604" s="224"/>
      <c r="F604" s="224"/>
      <c r="G604" s="225"/>
      <c r="H604" s="225"/>
    </row>
    <row r="605" spans="1:8" x14ac:dyDescent="0.2">
      <c r="A605" s="224"/>
      <c r="B605" s="225"/>
      <c r="C605" s="225"/>
      <c r="D605" s="225"/>
      <c r="E605" s="225"/>
      <c r="F605" s="225"/>
      <c r="G605" s="225"/>
      <c r="H605" s="225"/>
    </row>
    <row r="606" spans="1:8" x14ac:dyDescent="0.2">
      <c r="A606" s="224" t="s">
        <v>1702</v>
      </c>
      <c r="B606" s="224"/>
      <c r="C606" s="224"/>
      <c r="D606" s="224"/>
      <c r="E606" s="224"/>
      <c r="F606" s="224"/>
      <c r="G606" s="224"/>
      <c r="H606" s="224"/>
    </row>
    <row r="607" spans="1:8" x14ac:dyDescent="0.2">
      <c r="A607" s="224"/>
      <c r="B607" s="225"/>
      <c r="C607" s="225"/>
      <c r="D607" s="225"/>
      <c r="E607" s="224" t="s">
        <v>1703</v>
      </c>
      <c r="F607" s="224"/>
      <c r="G607" s="225"/>
      <c r="H607" s="225"/>
    </row>
    <row r="608" spans="1:8" x14ac:dyDescent="0.2">
      <c r="A608" s="224"/>
      <c r="B608" s="225"/>
      <c r="C608" s="225"/>
      <c r="D608" s="225"/>
      <c r="E608" s="225"/>
      <c r="F608" s="225"/>
      <c r="G608" s="225"/>
      <c r="H608" s="225"/>
    </row>
    <row r="609" spans="1:8" x14ac:dyDescent="0.2">
      <c r="A609" s="224"/>
      <c r="B609" s="225"/>
      <c r="C609" s="225"/>
      <c r="D609" s="225"/>
      <c r="E609" s="225"/>
      <c r="F609" s="225"/>
      <c r="G609" s="225"/>
      <c r="H609" s="225"/>
    </row>
    <row r="610" spans="1:8" x14ac:dyDescent="0.2">
      <c r="A610" s="228" t="s">
        <v>1704</v>
      </c>
      <c r="B610" s="228"/>
      <c r="C610" s="228"/>
      <c r="D610" s="228"/>
      <c r="E610" s="228"/>
      <c r="F610" s="228"/>
      <c r="G610" s="229"/>
      <c r="H610" s="229" t="s">
        <v>1678</v>
      </c>
    </row>
    <row r="611" spans="1:8" x14ac:dyDescent="0.2">
      <c r="A611" s="224" t="s">
        <v>1705</v>
      </c>
      <c r="B611" s="224"/>
      <c r="C611" s="224"/>
      <c r="D611" s="224"/>
      <c r="E611" s="224"/>
      <c r="F611" s="224"/>
      <c r="G611" s="224"/>
      <c r="H611" s="224"/>
    </row>
    <row r="612" spans="1:8" x14ac:dyDescent="0.2">
      <c r="A612" s="224" t="s">
        <v>1706</v>
      </c>
      <c r="B612" s="225"/>
      <c r="C612" s="225"/>
      <c r="D612" s="225"/>
      <c r="E612" s="225"/>
      <c r="F612" s="225"/>
      <c r="G612" s="225"/>
      <c r="H612" s="225"/>
    </row>
    <row r="613" spans="1:8" x14ac:dyDescent="0.2">
      <c r="A613" s="224" t="s">
        <v>1707</v>
      </c>
      <c r="B613" s="224"/>
      <c r="C613" s="224"/>
      <c r="D613" s="224"/>
      <c r="E613" s="224"/>
      <c r="F613" s="224"/>
      <c r="G613" s="224"/>
      <c r="H613" s="225"/>
    </row>
    <row r="614" spans="1:8" x14ac:dyDescent="0.2">
      <c r="A614" s="224"/>
      <c r="B614" s="225"/>
      <c r="C614" s="225"/>
      <c r="D614" s="225"/>
      <c r="E614" s="225"/>
      <c r="F614" s="225"/>
      <c r="G614" s="225"/>
      <c r="H614" s="225"/>
    </row>
    <row r="615" spans="1:8" x14ac:dyDescent="0.2">
      <c r="A615" s="227" t="s">
        <v>198</v>
      </c>
      <c r="B615" s="225"/>
      <c r="C615" s="225"/>
      <c r="D615" s="225"/>
      <c r="E615" s="225"/>
      <c r="F615" s="225"/>
      <c r="G615" s="225"/>
      <c r="H615" s="225"/>
    </row>
    <row r="616" spans="1:8" x14ac:dyDescent="0.2">
      <c r="A616" s="224"/>
      <c r="B616" s="225"/>
      <c r="C616" s="225"/>
      <c r="D616" s="225"/>
      <c r="E616" s="225"/>
      <c r="F616" s="225"/>
      <c r="G616" s="225"/>
      <c r="H616" s="225"/>
    </row>
    <row r="617" spans="1:8" x14ac:dyDescent="0.2">
      <c r="A617" s="224" t="s">
        <v>1708</v>
      </c>
      <c r="B617" s="225"/>
      <c r="C617" s="225"/>
      <c r="D617" s="225"/>
      <c r="E617" s="225"/>
      <c r="F617" s="225"/>
      <c r="G617" s="225"/>
      <c r="H617" s="225"/>
    </row>
    <row r="618" spans="1:8" x14ac:dyDescent="0.2">
      <c r="A618" s="224"/>
      <c r="B618" s="225"/>
      <c r="C618" s="225"/>
      <c r="D618" s="225"/>
      <c r="E618" s="269">
        <f>2%+(10%-2%)*1.4</f>
        <v>0.13199999999999998</v>
      </c>
      <c r="F618" s="225"/>
      <c r="G618" s="225"/>
      <c r="H618" s="225"/>
    </row>
    <row r="619" spans="1:8" x14ac:dyDescent="0.2">
      <c r="A619" s="224"/>
      <c r="B619" s="225"/>
      <c r="C619" s="225"/>
      <c r="D619" s="225"/>
      <c r="E619" s="225"/>
      <c r="F619" s="225"/>
      <c r="G619" s="225"/>
      <c r="H619" s="225"/>
    </row>
    <row r="620" spans="1:8" x14ac:dyDescent="0.2">
      <c r="A620" s="224"/>
      <c r="B620" s="225"/>
      <c r="C620" s="225"/>
      <c r="D620" s="225"/>
      <c r="E620" s="225"/>
      <c r="F620" s="225"/>
      <c r="G620" s="225"/>
      <c r="H620" s="225"/>
    </row>
    <row r="621" spans="1:8" x14ac:dyDescent="0.2">
      <c r="A621" s="228" t="s">
        <v>1709</v>
      </c>
      <c r="B621" s="228"/>
      <c r="C621" s="228"/>
      <c r="D621" s="229"/>
      <c r="E621" s="229"/>
      <c r="F621" s="229"/>
      <c r="G621" s="229"/>
      <c r="H621" s="229" t="s">
        <v>1678</v>
      </c>
    </row>
    <row r="622" spans="1:8" x14ac:dyDescent="0.2">
      <c r="A622" s="224" t="s">
        <v>1710</v>
      </c>
      <c r="B622" s="224"/>
      <c r="C622" s="224"/>
      <c r="D622" s="224"/>
      <c r="E622" s="225"/>
      <c r="F622" s="225"/>
      <c r="G622" s="225"/>
      <c r="H622" s="225"/>
    </row>
    <row r="623" spans="1:8" x14ac:dyDescent="0.2">
      <c r="A623" s="224" t="s">
        <v>1711</v>
      </c>
      <c r="B623" s="224"/>
      <c r="C623" s="225"/>
      <c r="D623" s="225"/>
      <c r="E623" s="225"/>
      <c r="F623" s="225"/>
      <c r="G623" s="225"/>
      <c r="H623" s="225"/>
    </row>
    <row r="624" spans="1:8" x14ac:dyDescent="0.2">
      <c r="A624" s="224" t="s">
        <v>1712</v>
      </c>
      <c r="B624" s="224"/>
      <c r="C624" s="224"/>
      <c r="D624" s="224"/>
      <c r="E624" s="224"/>
      <c r="F624" s="224"/>
      <c r="G624" s="224"/>
      <c r="H624" s="225"/>
    </row>
    <row r="625" spans="1:8" x14ac:dyDescent="0.2">
      <c r="A625" s="224" t="s">
        <v>1713</v>
      </c>
      <c r="B625" s="224"/>
      <c r="C625" s="224"/>
      <c r="D625" s="224"/>
      <c r="E625" s="224"/>
      <c r="F625" s="225"/>
      <c r="G625" s="225"/>
      <c r="H625" s="225"/>
    </row>
    <row r="626" spans="1:8" x14ac:dyDescent="0.2">
      <c r="A626" s="224" t="s">
        <v>1714</v>
      </c>
      <c r="B626" s="224"/>
      <c r="C626" s="225"/>
      <c r="D626" s="225"/>
      <c r="E626" s="225"/>
      <c r="F626" s="225"/>
      <c r="G626" s="225"/>
      <c r="H626" s="225"/>
    </row>
    <row r="627" spans="1:8" x14ac:dyDescent="0.2">
      <c r="A627" s="224" t="s">
        <v>1715</v>
      </c>
      <c r="B627" s="224"/>
      <c r="C627" s="225"/>
      <c r="D627" s="225"/>
      <c r="E627" s="225"/>
      <c r="F627" s="225"/>
      <c r="G627" s="225"/>
      <c r="H627" s="225"/>
    </row>
    <row r="628" spans="1:8" x14ac:dyDescent="0.2">
      <c r="A628" s="224"/>
      <c r="B628" s="225"/>
      <c r="C628" s="225"/>
      <c r="D628" s="225"/>
      <c r="E628" s="225"/>
      <c r="F628" s="225"/>
      <c r="G628" s="225"/>
      <c r="H628" s="225"/>
    </row>
    <row r="629" spans="1:8" x14ac:dyDescent="0.2">
      <c r="A629" s="227" t="s">
        <v>198</v>
      </c>
      <c r="B629" s="225"/>
      <c r="C629" s="225"/>
      <c r="D629" s="225"/>
      <c r="E629" s="225"/>
      <c r="F629" s="225"/>
      <c r="G629" s="225"/>
      <c r="H629" s="225"/>
    </row>
    <row r="630" spans="1:8" x14ac:dyDescent="0.2">
      <c r="A630" s="224"/>
      <c r="B630" s="225"/>
      <c r="C630" s="225"/>
      <c r="D630" s="225"/>
      <c r="E630" s="225"/>
      <c r="F630" s="225"/>
      <c r="G630" s="225"/>
      <c r="H630" s="225"/>
    </row>
    <row r="631" spans="1:8" x14ac:dyDescent="0.2">
      <c r="A631" s="227" t="s">
        <v>1716</v>
      </c>
      <c r="B631" s="227"/>
      <c r="C631" s="227"/>
      <c r="D631" s="227"/>
      <c r="E631" s="227"/>
      <c r="F631" s="227"/>
      <c r="G631" s="227"/>
      <c r="H631" s="225"/>
    </row>
    <row r="632" spans="1:8" x14ac:dyDescent="0.2">
      <c r="A632" s="224" t="s">
        <v>1717</v>
      </c>
      <c r="B632" s="224"/>
      <c r="C632" s="224"/>
      <c r="D632" s="224"/>
      <c r="E632" s="224"/>
      <c r="F632" s="224"/>
      <c r="G632" s="224"/>
      <c r="H632" s="225"/>
    </row>
    <row r="633" spans="1:8" x14ac:dyDescent="0.2">
      <c r="A633" s="224" t="s">
        <v>1718</v>
      </c>
      <c r="B633" s="224"/>
      <c r="C633" s="225"/>
      <c r="D633" s="225"/>
      <c r="E633" s="225"/>
      <c r="F633" s="225"/>
      <c r="G633" s="225"/>
      <c r="H633" s="225"/>
    </row>
    <row r="634" spans="1:8" x14ac:dyDescent="0.2">
      <c r="A634" s="224" t="s">
        <v>1719</v>
      </c>
      <c r="B634" s="224"/>
      <c r="C634" s="225"/>
      <c r="D634" s="225"/>
      <c r="E634" s="225"/>
      <c r="F634" s="225"/>
      <c r="G634" s="225"/>
      <c r="H634" s="225"/>
    </row>
    <row r="635" spans="1:8" x14ac:dyDescent="0.2">
      <c r="A635" s="224"/>
      <c r="B635" s="225"/>
      <c r="C635" s="225"/>
      <c r="D635" s="225"/>
      <c r="E635" s="225"/>
      <c r="F635" s="225"/>
      <c r="G635" s="225"/>
      <c r="H635" s="225"/>
    </row>
    <row r="636" spans="1:8" x14ac:dyDescent="0.2">
      <c r="A636" s="224"/>
      <c r="B636" s="225"/>
      <c r="C636" s="225"/>
      <c r="D636" s="225"/>
      <c r="E636" s="225"/>
      <c r="F636" s="225"/>
      <c r="G636" s="225"/>
      <c r="H636" s="225"/>
    </row>
    <row r="637" spans="1:8" x14ac:dyDescent="0.2">
      <c r="A637" s="224"/>
      <c r="B637" s="225"/>
      <c r="C637" s="225"/>
      <c r="D637" s="225"/>
      <c r="E637" s="225"/>
      <c r="F637" s="225"/>
      <c r="G637" s="225"/>
      <c r="H637" s="225"/>
    </row>
    <row r="638" spans="1:8" x14ac:dyDescent="0.2">
      <c r="A638" s="224"/>
      <c r="B638" s="225"/>
      <c r="C638" s="225"/>
      <c r="D638" s="225"/>
      <c r="E638" s="225"/>
      <c r="F638" s="225"/>
      <c r="G638" s="225"/>
      <c r="H638" s="225"/>
    </row>
    <row r="639" spans="1:8" x14ac:dyDescent="0.2">
      <c r="A639" s="224"/>
      <c r="B639" s="225"/>
      <c r="C639" s="225"/>
      <c r="D639" s="225"/>
      <c r="E639" s="225"/>
      <c r="F639" s="225"/>
      <c r="G639" s="225"/>
      <c r="H639" s="225"/>
    </row>
    <row r="640" spans="1:8" x14ac:dyDescent="0.2">
      <c r="A640" s="224"/>
      <c r="B640" s="225"/>
      <c r="C640" s="225"/>
      <c r="D640" s="225"/>
      <c r="E640" s="225"/>
      <c r="F640" s="225"/>
      <c r="G640" s="225"/>
      <c r="H640" s="225"/>
    </row>
    <row r="641" spans="1:8" x14ac:dyDescent="0.2">
      <c r="A641" s="228" t="s">
        <v>1720</v>
      </c>
      <c r="B641" s="228"/>
      <c r="C641" s="228"/>
      <c r="D641" s="228"/>
      <c r="E641" s="229"/>
      <c r="F641" s="229"/>
      <c r="G641" s="229"/>
      <c r="H641" s="229" t="s">
        <v>1678</v>
      </c>
    </row>
    <row r="642" spans="1:8" x14ac:dyDescent="0.2">
      <c r="A642" s="224" t="s">
        <v>1721</v>
      </c>
      <c r="B642" s="224"/>
      <c r="C642" s="224"/>
      <c r="D642" s="224"/>
      <c r="E642" s="224"/>
      <c r="F642" s="224"/>
      <c r="G642" s="225"/>
      <c r="H642" s="225"/>
    </row>
    <row r="643" spans="1:8" x14ac:dyDescent="0.2">
      <c r="A643" s="224" t="s">
        <v>1722</v>
      </c>
      <c r="B643" s="224"/>
      <c r="C643" s="224"/>
      <c r="D643" s="224"/>
      <c r="E643" s="224"/>
      <c r="F643" s="224"/>
      <c r="G643" s="224"/>
      <c r="H643" s="224"/>
    </row>
    <row r="644" spans="1:8" x14ac:dyDescent="0.2">
      <c r="A644" s="224" t="s">
        <v>1723</v>
      </c>
      <c r="B644" s="224"/>
      <c r="C644" s="224"/>
      <c r="D644" s="224"/>
      <c r="E644" s="224"/>
      <c r="F644" s="224"/>
      <c r="G644" s="224"/>
      <c r="H644" s="224"/>
    </row>
    <row r="645" spans="1:8" x14ac:dyDescent="0.2">
      <c r="A645" s="224" t="s">
        <v>1724</v>
      </c>
      <c r="B645" s="224"/>
      <c r="C645" s="224"/>
      <c r="D645" s="224"/>
      <c r="E645" s="224"/>
      <c r="F645" s="224"/>
      <c r="G645" s="225"/>
      <c r="H645" s="225"/>
    </row>
    <row r="646" spans="1:8" x14ac:dyDescent="0.2">
      <c r="A646" s="224" t="s">
        <v>1725</v>
      </c>
      <c r="B646" s="224"/>
      <c r="C646" s="224"/>
      <c r="D646" s="224"/>
      <c r="E646" s="225"/>
      <c r="F646" s="225"/>
      <c r="G646" s="225"/>
      <c r="H646" s="225"/>
    </row>
    <row r="647" spans="1:8" x14ac:dyDescent="0.2">
      <c r="A647" s="224" t="s">
        <v>1726</v>
      </c>
      <c r="B647" s="224"/>
      <c r="C647" s="224"/>
      <c r="D647" s="225"/>
      <c r="E647" s="225"/>
      <c r="F647" s="225"/>
      <c r="G647" s="225"/>
      <c r="H647" s="225"/>
    </row>
    <row r="648" spans="1:8" x14ac:dyDescent="0.2">
      <c r="A648" s="224" t="s">
        <v>1727</v>
      </c>
      <c r="B648" s="225"/>
      <c r="C648" s="225"/>
      <c r="D648" s="225"/>
      <c r="E648" s="225"/>
      <c r="F648" s="225"/>
      <c r="G648" s="225"/>
      <c r="H648" s="225"/>
    </row>
    <row r="649" spans="1:8" x14ac:dyDescent="0.2">
      <c r="A649" s="224" t="s">
        <v>1728</v>
      </c>
      <c r="B649" s="224"/>
      <c r="C649" s="224"/>
      <c r="D649" s="225"/>
      <c r="E649" s="225"/>
      <c r="F649" s="225"/>
      <c r="G649" s="225"/>
      <c r="H649" s="225"/>
    </row>
    <row r="650" spans="1:8" x14ac:dyDescent="0.2">
      <c r="A650" s="224"/>
      <c r="B650" s="225"/>
      <c r="C650" s="225"/>
      <c r="D650" s="225"/>
      <c r="E650" s="225"/>
      <c r="F650" s="225"/>
      <c r="G650" s="225"/>
      <c r="H650" s="225"/>
    </row>
    <row r="651" spans="1:8" x14ac:dyDescent="0.2">
      <c r="A651" s="224" t="s">
        <v>1729</v>
      </c>
      <c r="B651" s="225"/>
      <c r="C651" s="225"/>
      <c r="D651" s="225"/>
      <c r="E651" s="225"/>
      <c r="F651" s="225"/>
      <c r="G651" s="225"/>
      <c r="H651" s="225"/>
    </row>
    <row r="652" spans="1:8" x14ac:dyDescent="0.2">
      <c r="A652" s="224"/>
      <c r="B652" s="225"/>
      <c r="C652" s="225"/>
      <c r="D652" s="225"/>
      <c r="E652" s="225"/>
      <c r="F652" s="225"/>
      <c r="G652" s="225"/>
      <c r="H652" s="225"/>
    </row>
    <row r="653" spans="1:8" x14ac:dyDescent="0.2">
      <c r="A653" s="227" t="s">
        <v>198</v>
      </c>
      <c r="B653" s="225"/>
      <c r="C653" s="225"/>
      <c r="D653" s="225"/>
      <c r="E653" s="225"/>
      <c r="F653" s="225"/>
      <c r="G653" s="225"/>
      <c r="H653" s="225"/>
    </row>
    <row r="654" spans="1:8" x14ac:dyDescent="0.2">
      <c r="A654" s="224"/>
      <c r="B654" s="225"/>
      <c r="C654" s="225"/>
      <c r="D654" s="225"/>
      <c r="E654" s="225"/>
      <c r="F654" s="225"/>
      <c r="G654" s="225"/>
      <c r="H654" s="225"/>
    </row>
    <row r="655" spans="1:8" x14ac:dyDescent="0.2">
      <c r="A655" s="224" t="s">
        <v>1730</v>
      </c>
      <c r="B655" s="224"/>
      <c r="C655" s="224"/>
      <c r="D655" s="224"/>
      <c r="E655" s="225"/>
      <c r="F655" s="225"/>
      <c r="G655" s="225"/>
      <c r="H655" s="225"/>
    </row>
    <row r="656" spans="1:8" x14ac:dyDescent="0.2">
      <c r="A656" s="224" t="s">
        <v>1731</v>
      </c>
      <c r="B656" s="225"/>
      <c r="C656" s="225"/>
      <c r="D656" s="225"/>
      <c r="E656" s="270">
        <f>F659*40%+C663*60%</f>
        <v>6.9199999999999998E-2</v>
      </c>
      <c r="F656" s="225" t="s">
        <v>1732</v>
      </c>
      <c r="G656" s="225"/>
      <c r="H656" s="225"/>
    </row>
    <row r="657" spans="1:8" x14ac:dyDescent="0.2">
      <c r="A657" s="224"/>
      <c r="B657" s="225"/>
      <c r="C657" s="225"/>
      <c r="D657" s="225"/>
      <c r="E657" s="225"/>
      <c r="F657" s="225"/>
      <c r="G657" s="225"/>
      <c r="H657" s="225"/>
    </row>
    <row r="658" spans="1:8" x14ac:dyDescent="0.2">
      <c r="A658" s="224" t="s">
        <v>1733</v>
      </c>
      <c r="B658" s="224"/>
      <c r="C658" s="224"/>
      <c r="D658" s="224" t="s">
        <v>1734</v>
      </c>
      <c r="E658" s="224"/>
      <c r="F658" s="224"/>
      <c r="G658" s="225"/>
      <c r="H658" s="225"/>
    </row>
    <row r="659" spans="1:8" x14ac:dyDescent="0.2">
      <c r="A659" s="224"/>
      <c r="B659" s="231" t="s">
        <v>119</v>
      </c>
      <c r="C659" s="231">
        <v>6</v>
      </c>
      <c r="D659" s="225"/>
      <c r="E659" s="225"/>
      <c r="F659" s="269">
        <f>2%+(8%-2%)*1.2</f>
        <v>9.1999999999999998E-2</v>
      </c>
      <c r="G659" s="225"/>
      <c r="H659" s="225"/>
    </row>
    <row r="660" spans="1:8" x14ac:dyDescent="0.2">
      <c r="A660" s="224"/>
      <c r="B660" s="231" t="s">
        <v>121</v>
      </c>
      <c r="C660" s="231">
        <v>-98</v>
      </c>
      <c r="D660" s="225"/>
      <c r="E660" s="225"/>
      <c r="F660" s="225"/>
      <c r="G660" s="225"/>
      <c r="H660" s="225"/>
    </row>
    <row r="661" spans="1:8" x14ac:dyDescent="0.2">
      <c r="A661" s="224"/>
      <c r="B661" s="231" t="s">
        <v>123</v>
      </c>
      <c r="C661" s="231">
        <v>5</v>
      </c>
      <c r="E661" s="224" t="s">
        <v>1735</v>
      </c>
      <c r="F661" s="225"/>
      <c r="G661" s="225"/>
      <c r="H661" s="225"/>
    </row>
    <row r="662" spans="1:8" x14ac:dyDescent="0.2">
      <c r="A662" s="224"/>
      <c r="B662" s="231" t="s">
        <v>125</v>
      </c>
      <c r="C662" s="231">
        <v>100</v>
      </c>
      <c r="E662" s="224" t="s">
        <v>1736</v>
      </c>
      <c r="F662" s="225"/>
      <c r="G662" s="225"/>
      <c r="H662" s="225"/>
    </row>
    <row r="663" spans="1:8" x14ac:dyDescent="0.2">
      <c r="A663" s="224" t="s">
        <v>1737</v>
      </c>
      <c r="B663" s="231" t="s">
        <v>117</v>
      </c>
      <c r="C663" s="236">
        <v>5.3999999999999999E-2</v>
      </c>
      <c r="D663" s="225"/>
      <c r="E663" s="225"/>
      <c r="F663" s="225"/>
      <c r="G663" s="225"/>
      <c r="H663" s="225"/>
    </row>
    <row r="664" spans="1:8" x14ac:dyDescent="0.2">
      <c r="A664" s="224"/>
      <c r="B664" s="225"/>
      <c r="C664" s="225"/>
      <c r="D664" s="225"/>
      <c r="E664" s="225"/>
      <c r="F664" s="225"/>
      <c r="G664" s="225"/>
      <c r="H664" s="225"/>
    </row>
    <row r="665" spans="1:8" x14ac:dyDescent="0.2">
      <c r="A665" s="224" t="s">
        <v>1738</v>
      </c>
      <c r="B665" s="225"/>
      <c r="C665" s="225"/>
      <c r="D665" s="225"/>
      <c r="E665" s="225"/>
      <c r="F665" s="225"/>
      <c r="G665" s="225"/>
      <c r="H665" s="225"/>
    </row>
    <row r="666" spans="1:8" x14ac:dyDescent="0.2">
      <c r="A666" s="224" t="s">
        <v>1739</v>
      </c>
      <c r="B666" s="225"/>
      <c r="C666" s="225"/>
      <c r="D666" s="225"/>
      <c r="E666" s="225"/>
      <c r="F666" s="225"/>
      <c r="G666" s="225"/>
      <c r="H666" s="225"/>
    </row>
    <row r="667" spans="1:8" x14ac:dyDescent="0.2">
      <c r="A667" s="224" t="s">
        <v>1740</v>
      </c>
      <c r="B667" s="225"/>
      <c r="C667" s="225"/>
      <c r="D667" s="225"/>
      <c r="E667" s="225"/>
      <c r="F667" s="225"/>
      <c r="G667" s="225"/>
      <c r="H667" s="225"/>
    </row>
    <row r="668" spans="1:8" x14ac:dyDescent="0.2">
      <c r="A668" s="224" t="s">
        <v>1741</v>
      </c>
      <c r="B668" s="225"/>
      <c r="C668" s="225"/>
      <c r="D668" s="225"/>
      <c r="E668" s="225"/>
      <c r="F668" s="225"/>
      <c r="G668" s="225"/>
      <c r="H668" s="225"/>
    </row>
    <row r="669" spans="1:8" x14ac:dyDescent="0.2">
      <c r="A669" s="224" t="s">
        <v>1742</v>
      </c>
      <c r="B669" s="225"/>
      <c r="C669" s="225"/>
      <c r="D669" s="225"/>
      <c r="E669" s="225"/>
      <c r="F669" s="225"/>
      <c r="G669" s="225"/>
      <c r="H669" s="225"/>
    </row>
    <row r="670" spans="1:8" x14ac:dyDescent="0.2">
      <c r="A670" s="224"/>
      <c r="B670" s="225"/>
      <c r="C670" s="225"/>
      <c r="D670" s="225"/>
      <c r="E670" s="225"/>
      <c r="F670" s="225"/>
      <c r="G670" s="225"/>
      <c r="H670" s="225"/>
    </row>
    <row r="671" spans="1:8" x14ac:dyDescent="0.2">
      <c r="A671" s="228" t="s">
        <v>1743</v>
      </c>
      <c r="B671" s="228"/>
      <c r="C671" s="228"/>
      <c r="D671" s="228"/>
      <c r="E671" s="228"/>
      <c r="F671" s="229"/>
      <c r="G671" s="229"/>
      <c r="H671" s="229" t="s">
        <v>1678</v>
      </c>
    </row>
    <row r="672" spans="1:8" x14ac:dyDescent="0.2">
      <c r="A672" s="224" t="s">
        <v>1744</v>
      </c>
      <c r="B672" s="224"/>
      <c r="C672" s="224"/>
      <c r="D672" s="224"/>
      <c r="E672" s="224"/>
      <c r="F672" s="224"/>
      <c r="G672" s="225"/>
      <c r="H672" s="225"/>
    </row>
    <row r="673" spans="1:8" x14ac:dyDescent="0.2">
      <c r="A673" s="224" t="s">
        <v>1745</v>
      </c>
      <c r="B673" s="224"/>
      <c r="C673" s="224"/>
      <c r="D673" s="224"/>
      <c r="E673" s="224"/>
      <c r="F673" s="224"/>
      <c r="G673" s="224"/>
      <c r="H673" s="225"/>
    </row>
    <row r="674" spans="1:8" x14ac:dyDescent="0.2">
      <c r="A674" s="224" t="s">
        <v>1746</v>
      </c>
      <c r="B674" s="224"/>
      <c r="C674" s="224"/>
      <c r="D674" s="224"/>
      <c r="E674" s="224"/>
      <c r="F674" s="225"/>
      <c r="G674" s="225"/>
      <c r="H674" s="225"/>
    </row>
    <row r="675" spans="1:8" x14ac:dyDescent="0.2">
      <c r="A675" s="224" t="s">
        <v>1747</v>
      </c>
      <c r="B675" s="224"/>
      <c r="C675" s="224"/>
      <c r="D675" s="224"/>
      <c r="E675" s="224"/>
      <c r="F675" s="224"/>
      <c r="G675" s="224"/>
      <c r="H675" s="224"/>
    </row>
    <row r="676" spans="1:8" x14ac:dyDescent="0.2">
      <c r="A676" s="224" t="s">
        <v>1748</v>
      </c>
      <c r="B676" s="224"/>
      <c r="C676" s="224"/>
      <c r="D676" s="224"/>
      <c r="E676" s="224"/>
      <c r="F676" s="224"/>
      <c r="G676" s="224"/>
      <c r="H676" s="224"/>
    </row>
    <row r="677" spans="1:8" x14ac:dyDescent="0.2">
      <c r="A677" s="224" t="s">
        <v>1749</v>
      </c>
      <c r="B677" s="225"/>
      <c r="C677" s="225"/>
      <c r="D677" s="225"/>
      <c r="E677" s="225"/>
      <c r="F677" s="225"/>
      <c r="G677" s="225"/>
      <c r="H677" s="225"/>
    </row>
    <row r="678" spans="1:8" x14ac:dyDescent="0.2">
      <c r="A678" s="224" t="s">
        <v>1750</v>
      </c>
      <c r="B678" s="224"/>
      <c r="C678" s="225"/>
      <c r="D678" s="225"/>
      <c r="E678" s="225"/>
      <c r="F678" s="225"/>
      <c r="G678" s="225"/>
      <c r="H678" s="225"/>
    </row>
    <row r="679" spans="1:8" x14ac:dyDescent="0.2">
      <c r="A679" s="224"/>
      <c r="B679" s="225"/>
      <c r="C679" s="225"/>
      <c r="D679" s="225"/>
      <c r="E679" s="225"/>
      <c r="F679" s="225"/>
      <c r="G679" s="225"/>
      <c r="H679" s="225"/>
    </row>
    <row r="680" spans="1:8" x14ac:dyDescent="0.2">
      <c r="A680" s="224" t="s">
        <v>1751</v>
      </c>
      <c r="B680" s="224"/>
      <c r="C680" s="224"/>
      <c r="D680" s="224"/>
      <c r="E680" s="224"/>
      <c r="F680" s="224"/>
      <c r="G680" s="225"/>
      <c r="H680" s="225"/>
    </row>
    <row r="681" spans="1:8" ht="17" customHeight="1" x14ac:dyDescent="0.2">
      <c r="A681" s="224"/>
      <c r="B681" s="225"/>
      <c r="C681" s="225"/>
      <c r="D681" s="225"/>
      <c r="E681" s="225"/>
      <c r="F681" s="225"/>
      <c r="G681" s="225"/>
      <c r="H681" s="225"/>
    </row>
    <row r="682" spans="1:8" ht="17" customHeight="1" x14ac:dyDescent="0.2">
      <c r="A682" s="227" t="s">
        <v>198</v>
      </c>
      <c r="B682" s="225"/>
      <c r="C682" s="225"/>
      <c r="D682" s="225"/>
      <c r="E682" s="225"/>
      <c r="F682" s="225"/>
      <c r="G682" s="225"/>
      <c r="H682" s="225"/>
    </row>
    <row r="683" spans="1:8" ht="17" customHeight="1" x14ac:dyDescent="0.2">
      <c r="A683" s="224"/>
      <c r="B683" s="225"/>
      <c r="C683" s="225"/>
      <c r="D683" s="225"/>
      <c r="E683" s="225"/>
      <c r="F683" s="225"/>
      <c r="G683" s="225"/>
      <c r="H683" s="225"/>
    </row>
    <row r="684" spans="1:8" x14ac:dyDescent="0.2">
      <c r="A684" s="224" t="s">
        <v>1752</v>
      </c>
      <c r="B684" s="224"/>
      <c r="C684" s="224"/>
      <c r="D684" s="224"/>
      <c r="E684" s="224"/>
      <c r="F684" s="224"/>
      <c r="G684" s="225"/>
      <c r="H684" s="225"/>
    </row>
    <row r="685" spans="1:8" x14ac:dyDescent="0.2">
      <c r="A685" s="224"/>
      <c r="B685" s="225"/>
      <c r="C685" s="225"/>
      <c r="D685" s="225"/>
      <c r="E685" s="225"/>
      <c r="F685" s="225"/>
      <c r="G685" s="225"/>
      <c r="H685" s="225"/>
    </row>
    <row r="686" spans="1:8" x14ac:dyDescent="0.2">
      <c r="A686" s="224" t="s">
        <v>1753</v>
      </c>
      <c r="B686" s="225"/>
      <c r="C686" s="225"/>
      <c r="D686" s="225"/>
      <c r="E686" s="1" t="s">
        <v>1521</v>
      </c>
      <c r="F686" s="225"/>
      <c r="G686" s="225"/>
      <c r="H686" s="225"/>
    </row>
    <row r="687" spans="1:8" x14ac:dyDescent="0.2">
      <c r="A687" s="224" t="s">
        <v>1582</v>
      </c>
      <c r="B687" s="225"/>
      <c r="C687" s="225"/>
      <c r="D687" s="225"/>
      <c r="E687" s="1" t="s">
        <v>1754</v>
      </c>
      <c r="F687" s="225"/>
      <c r="G687" s="225"/>
      <c r="H687" s="225"/>
    </row>
    <row r="688" spans="1:8" x14ac:dyDescent="0.2">
      <c r="A688" s="224"/>
      <c r="B688" s="225"/>
      <c r="C688" s="225"/>
      <c r="D688" s="225"/>
      <c r="E688" s="225"/>
      <c r="F688" s="225"/>
      <c r="G688" s="225"/>
      <c r="H688" s="225"/>
    </row>
    <row r="689" spans="1:8" x14ac:dyDescent="0.2">
      <c r="A689" s="224" t="s">
        <v>1755</v>
      </c>
      <c r="B689" s="225"/>
      <c r="C689" s="225"/>
      <c r="D689" s="225"/>
      <c r="E689" s="225"/>
      <c r="F689" s="225"/>
      <c r="G689" s="225"/>
      <c r="H689" s="225"/>
    </row>
    <row r="690" spans="1:8" x14ac:dyDescent="0.2">
      <c r="A690" s="224"/>
      <c r="B690" s="225"/>
      <c r="C690" s="225"/>
      <c r="D690" s="225"/>
      <c r="E690" s="225"/>
      <c r="F690" s="225"/>
      <c r="G690" s="225"/>
      <c r="H690" s="225"/>
    </row>
    <row r="691" spans="1:8" x14ac:dyDescent="0.2">
      <c r="A691" s="224" t="s">
        <v>1756</v>
      </c>
      <c r="B691" s="224"/>
      <c r="C691" s="224"/>
      <c r="D691" s="225"/>
      <c r="E691" s="225"/>
      <c r="F691" s="225"/>
      <c r="G691" s="225"/>
      <c r="H691" s="225"/>
    </row>
    <row r="692" spans="1:8" x14ac:dyDescent="0.2">
      <c r="A692" s="224" t="s">
        <v>578</v>
      </c>
      <c r="B692" s="225"/>
      <c r="C692" s="225"/>
      <c r="D692" s="225"/>
      <c r="E692" s="225"/>
      <c r="F692" s="225"/>
      <c r="G692" s="225"/>
      <c r="H692" s="225"/>
    </row>
    <row r="693" spans="1:8" x14ac:dyDescent="0.2">
      <c r="A693" s="224" t="s">
        <v>1582</v>
      </c>
      <c r="B693" s="237"/>
      <c r="C693" s="225"/>
      <c r="D693" s="225"/>
      <c r="E693" s="225"/>
      <c r="F693" s="225"/>
      <c r="G693" s="225"/>
      <c r="H693" s="225"/>
    </row>
    <row r="694" spans="1:8" x14ac:dyDescent="0.2">
      <c r="A694" s="224"/>
      <c r="B694" s="225"/>
      <c r="C694" s="225"/>
      <c r="D694" s="225"/>
      <c r="E694" s="225"/>
      <c r="F694" s="225"/>
      <c r="G694" s="225"/>
      <c r="H694" s="225"/>
    </row>
    <row r="695" spans="1:8" x14ac:dyDescent="0.2">
      <c r="A695" s="224" t="s">
        <v>1757</v>
      </c>
      <c r="B695" s="224"/>
      <c r="C695" s="225"/>
      <c r="D695" s="224"/>
      <c r="E695" s="225"/>
      <c r="F695" s="225"/>
      <c r="G695" s="225"/>
      <c r="H695" s="225"/>
    </row>
    <row r="696" spans="1:8" x14ac:dyDescent="0.2">
      <c r="A696" s="224"/>
      <c r="B696" s="231" t="s">
        <v>119</v>
      </c>
      <c r="C696" s="231">
        <v>10</v>
      </c>
      <c r="D696" s="224" t="s">
        <v>1758</v>
      </c>
      <c r="E696" s="225"/>
      <c r="F696" s="225"/>
      <c r="G696" s="225"/>
      <c r="H696" s="225"/>
    </row>
    <row r="697" spans="1:8" x14ac:dyDescent="0.2">
      <c r="A697" s="224"/>
      <c r="B697" s="231" t="s">
        <v>121</v>
      </c>
      <c r="C697" s="231">
        <v>-98</v>
      </c>
      <c r="D697" s="224" t="s">
        <v>1759</v>
      </c>
      <c r="E697" s="225"/>
      <c r="F697" s="225"/>
      <c r="G697" s="225"/>
      <c r="H697" s="225"/>
    </row>
    <row r="698" spans="1:8" x14ac:dyDescent="0.2">
      <c r="A698" s="224"/>
      <c r="B698" s="231" t="s">
        <v>123</v>
      </c>
      <c r="C698" s="231">
        <v>5</v>
      </c>
      <c r="D698" s="224" t="s">
        <v>1760</v>
      </c>
      <c r="E698" s="225"/>
      <c r="F698" s="225"/>
      <c r="G698" s="225"/>
      <c r="H698" s="225"/>
    </row>
    <row r="699" spans="1:8" x14ac:dyDescent="0.2">
      <c r="A699" s="224"/>
      <c r="B699" s="231" t="s">
        <v>125</v>
      </c>
      <c r="C699" s="231">
        <v>100</v>
      </c>
      <c r="D699" s="224" t="s">
        <v>304</v>
      </c>
      <c r="E699" s="225"/>
      <c r="F699" s="225"/>
      <c r="G699" s="225"/>
      <c r="H699" s="225"/>
    </row>
    <row r="700" spans="1:8" x14ac:dyDescent="0.2">
      <c r="A700" s="224"/>
      <c r="B700" s="231" t="s">
        <v>117</v>
      </c>
      <c r="C700" s="238">
        <v>5.2600000000000001E-2</v>
      </c>
      <c r="D700" s="224" t="s">
        <v>1761</v>
      </c>
      <c r="E700" s="225"/>
      <c r="F700" s="225"/>
      <c r="G700" s="225"/>
      <c r="H700" s="225"/>
    </row>
    <row r="701" spans="1:8" x14ac:dyDescent="0.2">
      <c r="A701" s="224"/>
      <c r="B701" s="225"/>
      <c r="C701" s="225"/>
      <c r="D701" s="225"/>
      <c r="E701" s="225"/>
      <c r="F701" s="225"/>
      <c r="G701" s="225"/>
      <c r="H701" s="225"/>
    </row>
    <row r="702" spans="1:8" x14ac:dyDescent="0.2">
      <c r="A702" s="224" t="s">
        <v>1762</v>
      </c>
      <c r="B702" s="225"/>
      <c r="C702" s="225"/>
      <c r="D702" s="225"/>
      <c r="E702" s="225"/>
      <c r="F702" s="225"/>
      <c r="G702" s="225"/>
      <c r="H702" s="225"/>
    </row>
    <row r="703" spans="1:8" x14ac:dyDescent="0.2">
      <c r="A703" s="303">
        <f>12.8%*0.3+0.0526*(1-23%)*0.7</f>
        <v>6.6751399999999989E-2</v>
      </c>
      <c r="B703" s="225"/>
      <c r="C703" s="225"/>
      <c r="D703" s="225"/>
      <c r="E703" s="1" t="s">
        <v>1763</v>
      </c>
      <c r="F703" s="225" t="s">
        <v>287</v>
      </c>
      <c r="G703" s="225"/>
      <c r="H703" s="225"/>
    </row>
    <row r="704" spans="1:8" x14ac:dyDescent="0.2">
      <c r="A704" s="224"/>
      <c r="B704" s="225"/>
      <c r="C704" s="225"/>
      <c r="D704" s="225"/>
      <c r="E704" s="225"/>
      <c r="F704" s="225"/>
      <c r="G704" s="225"/>
      <c r="H704" s="225"/>
    </row>
    <row r="705" spans="1:8" x14ac:dyDescent="0.2">
      <c r="A705" s="224" t="s">
        <v>1764</v>
      </c>
      <c r="B705" s="225"/>
      <c r="C705" s="225"/>
      <c r="D705" s="225"/>
      <c r="E705" s="225"/>
      <c r="F705" s="225"/>
      <c r="G705" s="225"/>
      <c r="H705" s="225"/>
    </row>
    <row r="706" spans="1:8" x14ac:dyDescent="0.2">
      <c r="A706" s="224"/>
      <c r="B706" s="225"/>
      <c r="C706" s="225"/>
      <c r="D706" s="225"/>
      <c r="E706" s="225"/>
      <c r="F706" s="225"/>
      <c r="G706" s="225"/>
      <c r="H706" s="225"/>
    </row>
    <row r="707" spans="1:8" x14ac:dyDescent="0.2">
      <c r="A707" s="224"/>
      <c r="B707" s="225"/>
      <c r="C707" s="225"/>
      <c r="D707" s="225"/>
      <c r="E707" s="225"/>
      <c r="F707" s="225"/>
      <c r="G707" s="225"/>
      <c r="H707" s="225"/>
    </row>
    <row r="708" spans="1:8" x14ac:dyDescent="0.2">
      <c r="A708" s="224"/>
      <c r="B708" s="225"/>
      <c r="C708" s="225"/>
      <c r="D708" s="225"/>
      <c r="E708" s="225"/>
      <c r="F708" s="225"/>
      <c r="G708" s="225"/>
      <c r="H708" s="225"/>
    </row>
    <row r="709" spans="1:8" x14ac:dyDescent="0.2">
      <c r="A709" s="228" t="s">
        <v>1765</v>
      </c>
      <c r="B709" s="228"/>
      <c r="C709" s="228"/>
      <c r="D709" s="229"/>
      <c r="E709" s="229"/>
      <c r="F709" s="228"/>
      <c r="G709" s="228"/>
      <c r="H709" s="229" t="s">
        <v>1678</v>
      </c>
    </row>
    <row r="710" spans="1:8" x14ac:dyDescent="0.2">
      <c r="A710" s="224" t="s">
        <v>1766</v>
      </c>
      <c r="B710" s="224"/>
      <c r="C710" s="224"/>
      <c r="D710" s="224"/>
      <c r="E710" s="224"/>
      <c r="F710" s="224"/>
      <c r="G710" s="224"/>
      <c r="H710" s="224"/>
    </row>
    <row r="711" spans="1:8" x14ac:dyDescent="0.2">
      <c r="A711" s="224" t="s">
        <v>1767</v>
      </c>
      <c r="B711" s="224"/>
      <c r="C711" s="224"/>
      <c r="D711" s="224"/>
      <c r="E711" s="224"/>
      <c r="F711" s="225"/>
      <c r="G711" s="225"/>
      <c r="H711" s="225"/>
    </row>
    <row r="712" spans="1:8" x14ac:dyDescent="0.2">
      <c r="A712" s="224" t="s">
        <v>1768</v>
      </c>
      <c r="B712" s="224"/>
      <c r="C712" s="224"/>
      <c r="D712" s="224"/>
      <c r="E712" s="224"/>
      <c r="F712" s="224"/>
      <c r="G712" s="224"/>
      <c r="H712" s="224"/>
    </row>
    <row r="713" spans="1:8" x14ac:dyDescent="0.2">
      <c r="A713" s="224" t="s">
        <v>1769</v>
      </c>
      <c r="B713" s="224"/>
      <c r="C713" s="224"/>
      <c r="D713" s="224"/>
      <c r="E713" s="224"/>
      <c r="F713" s="224"/>
      <c r="G713" s="224"/>
      <c r="H713" s="224"/>
    </row>
    <row r="714" spans="1:8" x14ac:dyDescent="0.2">
      <c r="A714" s="224" t="s">
        <v>1770</v>
      </c>
      <c r="B714" s="225"/>
      <c r="C714" s="225"/>
      <c r="D714" s="225"/>
      <c r="E714" s="225"/>
      <c r="F714" s="225"/>
      <c r="G714" s="225"/>
      <c r="H714" s="225"/>
    </row>
    <row r="715" spans="1:8" x14ac:dyDescent="0.2">
      <c r="A715" s="224" t="s">
        <v>1771</v>
      </c>
      <c r="B715" s="224"/>
      <c r="C715" s="224"/>
      <c r="D715" s="224"/>
      <c r="E715" s="224"/>
      <c r="F715" s="224"/>
      <c r="G715" s="224"/>
      <c r="H715" s="224"/>
    </row>
    <row r="716" spans="1:8" x14ac:dyDescent="0.2">
      <c r="A716" s="224" t="s">
        <v>1772</v>
      </c>
      <c r="B716" s="224"/>
      <c r="C716" s="224"/>
      <c r="D716" s="224"/>
      <c r="E716" s="224"/>
      <c r="F716" s="224"/>
      <c r="G716" s="224"/>
      <c r="H716" s="224"/>
    </row>
    <row r="717" spans="1:8" x14ac:dyDescent="0.2">
      <c r="A717" s="224" t="s">
        <v>1773</v>
      </c>
      <c r="B717" s="225"/>
      <c r="C717" s="225"/>
      <c r="D717" s="225"/>
      <c r="E717" s="225"/>
      <c r="F717" s="225"/>
      <c r="G717" s="225"/>
      <c r="H717" s="225"/>
    </row>
    <row r="718" spans="1:8" x14ac:dyDescent="0.2">
      <c r="A718" s="224"/>
      <c r="B718" s="225"/>
      <c r="C718" s="225"/>
      <c r="D718" s="225"/>
      <c r="E718" s="225"/>
      <c r="F718" s="225"/>
      <c r="G718" s="225"/>
      <c r="H718" s="225"/>
    </row>
    <row r="719" spans="1:8" x14ac:dyDescent="0.2">
      <c r="A719" s="239" t="s">
        <v>1448</v>
      </c>
      <c r="B719" s="239" t="s">
        <v>1449</v>
      </c>
      <c r="C719" s="225"/>
      <c r="D719" s="225"/>
      <c r="E719" s="225"/>
      <c r="F719" s="225"/>
      <c r="G719" s="225"/>
      <c r="H719" s="225"/>
    </row>
    <row r="720" spans="1:8" x14ac:dyDescent="0.2">
      <c r="A720" s="224" t="s">
        <v>1774</v>
      </c>
      <c r="B720" s="225">
        <v>1.7</v>
      </c>
      <c r="C720" s="225"/>
      <c r="D720" s="225"/>
      <c r="E720" s="225"/>
      <c r="F720" s="225"/>
      <c r="G720" s="225"/>
      <c r="H720" s="225"/>
    </row>
    <row r="721" spans="1:8" x14ac:dyDescent="0.2">
      <c r="A721" s="224" t="s">
        <v>1775</v>
      </c>
      <c r="B721" s="225">
        <v>1.5</v>
      </c>
      <c r="C721" s="225"/>
      <c r="D721" s="225"/>
      <c r="E721" s="225"/>
      <c r="F721" s="225"/>
      <c r="G721" s="225"/>
      <c r="H721" s="225"/>
    </row>
    <row r="722" spans="1:8" x14ac:dyDescent="0.2">
      <c r="A722" s="224" t="s">
        <v>1776</v>
      </c>
      <c r="B722" s="225">
        <v>1.2</v>
      </c>
      <c r="C722" s="225"/>
      <c r="D722" s="225"/>
      <c r="E722" s="225"/>
      <c r="F722" s="225"/>
      <c r="G722" s="225"/>
      <c r="H722" s="225"/>
    </row>
    <row r="723" spans="1:8" x14ac:dyDescent="0.2">
      <c r="A723" s="224" t="s">
        <v>1777</v>
      </c>
      <c r="B723" s="225">
        <v>1.6</v>
      </c>
      <c r="C723" s="225"/>
      <c r="D723" s="225"/>
      <c r="E723" s="225"/>
      <c r="F723" s="225"/>
      <c r="G723" s="225"/>
      <c r="H723" s="225"/>
    </row>
    <row r="724" spans="1:8" x14ac:dyDescent="0.2">
      <c r="A724" s="224"/>
      <c r="B724" s="225"/>
      <c r="C724" s="225"/>
      <c r="D724" s="225"/>
      <c r="E724" s="225"/>
      <c r="F724" s="225"/>
      <c r="G724" s="225"/>
      <c r="H724" s="225"/>
    </row>
    <row r="725" spans="1:8" x14ac:dyDescent="0.2">
      <c r="A725" s="224" t="s">
        <v>1778</v>
      </c>
      <c r="B725" s="224"/>
      <c r="C725" s="224"/>
      <c r="D725" s="224"/>
      <c r="E725" s="224"/>
      <c r="F725" s="224"/>
      <c r="G725" s="224"/>
      <c r="H725" s="224"/>
    </row>
    <row r="726" spans="1:8" x14ac:dyDescent="0.2">
      <c r="A726" s="224" t="s">
        <v>1779</v>
      </c>
      <c r="B726" s="224"/>
      <c r="C726" s="225"/>
      <c r="D726" s="225"/>
      <c r="E726" s="225"/>
      <c r="F726" s="225"/>
      <c r="G726" s="225"/>
      <c r="H726" s="225"/>
    </row>
    <row r="727" spans="1:8" x14ac:dyDescent="0.2">
      <c r="A727" s="224"/>
      <c r="B727" s="225"/>
      <c r="C727" s="225"/>
      <c r="D727" s="225"/>
      <c r="E727" s="225"/>
      <c r="F727" s="225"/>
      <c r="G727" s="225"/>
      <c r="H727" s="225"/>
    </row>
    <row r="728" spans="1:8" x14ac:dyDescent="0.2">
      <c r="A728" s="224" t="s">
        <v>1780</v>
      </c>
      <c r="B728" s="227"/>
      <c r="C728" s="226"/>
      <c r="D728" s="226"/>
      <c r="E728" s="226"/>
      <c r="F728" s="226"/>
      <c r="G728" s="226"/>
      <c r="H728" s="226"/>
    </row>
    <row r="729" spans="1:8" x14ac:dyDescent="0.2">
      <c r="A729" s="224" t="s">
        <v>1781</v>
      </c>
      <c r="B729" s="227"/>
      <c r="C729" s="227"/>
      <c r="D729" s="227"/>
      <c r="E729" s="226"/>
      <c r="F729" s="226"/>
      <c r="G729" s="226"/>
      <c r="H729" s="226"/>
    </row>
    <row r="730" spans="1:8" x14ac:dyDescent="0.2">
      <c r="A730" s="224"/>
      <c r="B730" s="225"/>
      <c r="C730" s="225"/>
      <c r="D730" s="225"/>
      <c r="E730" s="225"/>
      <c r="F730" s="225"/>
      <c r="G730" s="225"/>
      <c r="H730" s="225"/>
    </row>
    <row r="731" spans="1:8" x14ac:dyDescent="0.2">
      <c r="A731" s="227" t="s">
        <v>198</v>
      </c>
      <c r="B731" s="225"/>
      <c r="C731" s="225"/>
      <c r="D731" s="225"/>
      <c r="E731" s="225"/>
      <c r="F731" s="225"/>
      <c r="G731" s="225"/>
      <c r="H731" s="225"/>
    </row>
    <row r="732" spans="1:8" x14ac:dyDescent="0.2">
      <c r="A732" s="224"/>
      <c r="B732" s="225"/>
      <c r="C732" s="225"/>
      <c r="D732" s="225"/>
      <c r="E732" s="225"/>
      <c r="F732" s="225"/>
      <c r="G732" s="225"/>
      <c r="H732" s="225"/>
    </row>
    <row r="733" spans="1:8" x14ac:dyDescent="0.2">
      <c r="A733" s="224" t="s">
        <v>1782</v>
      </c>
      <c r="B733" s="225"/>
      <c r="C733" s="225"/>
      <c r="D733" s="225"/>
      <c r="E733" s="225"/>
      <c r="F733" s="225"/>
      <c r="G733" s="225"/>
      <c r="H733" s="225"/>
    </row>
    <row r="734" spans="1:8" x14ac:dyDescent="0.2">
      <c r="A734" s="224" t="s">
        <v>1783</v>
      </c>
      <c r="B734" s="225"/>
      <c r="C734" s="225"/>
      <c r="D734" s="225"/>
      <c r="E734" s="225"/>
      <c r="F734" s="225"/>
      <c r="G734" s="225"/>
      <c r="H734" s="225"/>
    </row>
    <row r="735" spans="1:8" x14ac:dyDescent="0.2">
      <c r="A735" s="224"/>
      <c r="B735" s="225"/>
      <c r="C735" s="225"/>
      <c r="D735" s="225"/>
      <c r="E735" s="225"/>
      <c r="F735" s="225"/>
      <c r="G735" s="225"/>
      <c r="H735" s="225"/>
    </row>
    <row r="736" spans="1:8" x14ac:dyDescent="0.2">
      <c r="A736" s="224" t="s">
        <v>1784</v>
      </c>
      <c r="B736" s="224"/>
      <c r="C736" s="225"/>
      <c r="E736" s="240">
        <v>1.5</v>
      </c>
      <c r="F736" s="225"/>
      <c r="G736" s="225"/>
      <c r="H736" s="225"/>
    </row>
    <row r="737" spans="1:8" x14ac:dyDescent="0.2">
      <c r="A737" s="224"/>
      <c r="B737" s="225"/>
      <c r="C737" s="225"/>
      <c r="D737" s="225"/>
      <c r="E737" s="225"/>
      <c r="F737" s="225"/>
      <c r="G737" s="225"/>
      <c r="H737" s="225"/>
    </row>
    <row r="738" spans="1:8" x14ac:dyDescent="0.2">
      <c r="A738" s="224" t="s">
        <v>1785</v>
      </c>
      <c r="B738" s="225"/>
      <c r="C738" s="225"/>
      <c r="D738" s="225"/>
      <c r="E738" s="225" t="s">
        <v>1786</v>
      </c>
      <c r="F738" s="225"/>
      <c r="G738" s="225"/>
      <c r="H738" s="225"/>
    </row>
    <row r="739" spans="1:8" x14ac:dyDescent="0.2">
      <c r="A739" s="224"/>
      <c r="B739" s="225"/>
      <c r="C739" s="225"/>
      <c r="D739" s="225"/>
      <c r="E739" s="225"/>
      <c r="F739" s="225"/>
      <c r="G739" s="225"/>
      <c r="H739" s="225"/>
    </row>
    <row r="740" spans="1:8" x14ac:dyDescent="0.2">
      <c r="A740" s="224" t="s">
        <v>1787</v>
      </c>
      <c r="B740" s="225"/>
      <c r="C740" s="225"/>
      <c r="D740" s="225"/>
      <c r="E740" s="225"/>
      <c r="F740" s="225"/>
      <c r="G740" s="225"/>
      <c r="H740" s="225"/>
    </row>
    <row r="741" spans="1:8" x14ac:dyDescent="0.2">
      <c r="A741" s="224"/>
      <c r="B741" s="225"/>
      <c r="C741" s="225"/>
      <c r="D741" s="225"/>
      <c r="E741" s="225"/>
      <c r="F741" s="225"/>
      <c r="G741" s="225"/>
      <c r="H741" s="225"/>
    </row>
    <row r="742" spans="1:8" x14ac:dyDescent="0.2">
      <c r="A742" s="224"/>
      <c r="B742" s="225"/>
      <c r="C742" s="225"/>
      <c r="D742" s="225"/>
      <c r="E742" s="225" t="s">
        <v>1464</v>
      </c>
      <c r="F742" s="225"/>
      <c r="G742" s="225"/>
      <c r="H742" s="225"/>
    </row>
    <row r="743" spans="1:8" x14ac:dyDescent="0.2">
      <c r="A743" s="224"/>
      <c r="B743" s="225"/>
      <c r="C743" s="304">
        <f>2%+6%*1.5</f>
        <v>0.11</v>
      </c>
      <c r="D743" s="224"/>
      <c r="E743" s="224" t="s">
        <v>1788</v>
      </c>
      <c r="F743" s="224"/>
      <c r="G743" s="225"/>
      <c r="H743" s="225"/>
    </row>
    <row r="744" spans="1:8" x14ac:dyDescent="0.2">
      <c r="A744" s="224"/>
      <c r="B744" s="225"/>
      <c r="C744" s="225"/>
      <c r="D744" s="224"/>
      <c r="E744" s="224"/>
      <c r="F744" s="225"/>
      <c r="G744" s="225"/>
      <c r="H744" s="225"/>
    </row>
    <row r="745" spans="1:8" x14ac:dyDescent="0.2">
      <c r="A745" s="227" t="s">
        <v>1789</v>
      </c>
      <c r="B745" s="225"/>
      <c r="C745" s="225"/>
      <c r="D745" s="225"/>
      <c r="E745" s="225"/>
      <c r="F745" s="225"/>
      <c r="G745" s="225"/>
      <c r="H745" s="225"/>
    </row>
    <row r="746" spans="1:8" x14ac:dyDescent="0.2">
      <c r="A746" s="224"/>
      <c r="B746" s="225"/>
      <c r="C746" s="225"/>
      <c r="D746" s="225"/>
      <c r="E746" s="225"/>
      <c r="F746" s="225"/>
      <c r="G746" s="225"/>
      <c r="H746" s="225"/>
    </row>
    <row r="747" spans="1:8" x14ac:dyDescent="0.2">
      <c r="A747" s="224" t="s">
        <v>1790</v>
      </c>
      <c r="B747" s="225"/>
      <c r="C747" s="225"/>
      <c r="D747" s="225"/>
      <c r="E747" s="225"/>
      <c r="F747" s="225"/>
      <c r="G747" s="225"/>
      <c r="H747" s="225"/>
    </row>
    <row r="748" spans="1:8" x14ac:dyDescent="0.2">
      <c r="A748" s="224" t="s">
        <v>1791</v>
      </c>
      <c r="B748" s="224"/>
      <c r="C748" s="224"/>
      <c r="D748" s="224"/>
      <c r="E748" s="224"/>
      <c r="F748" s="224"/>
      <c r="G748" s="224"/>
      <c r="H748" s="224"/>
    </row>
    <row r="749" spans="1:8" x14ac:dyDescent="0.2">
      <c r="A749" s="224" t="s">
        <v>1792</v>
      </c>
      <c r="B749" s="224"/>
      <c r="C749" s="224"/>
      <c r="D749" s="224"/>
      <c r="E749" s="224"/>
      <c r="F749" s="224"/>
      <c r="G749" s="224"/>
      <c r="H749" s="224"/>
    </row>
    <row r="750" spans="1:8" x14ac:dyDescent="0.2">
      <c r="A750" s="224" t="s">
        <v>1793</v>
      </c>
      <c r="B750" s="224"/>
      <c r="C750" s="224"/>
      <c r="D750" s="224"/>
      <c r="E750" s="224"/>
      <c r="F750" s="225"/>
      <c r="G750" s="225"/>
      <c r="H750" s="225"/>
    </row>
    <row r="751" spans="1:8" x14ac:dyDescent="0.2">
      <c r="A751" s="224" t="s">
        <v>1794</v>
      </c>
      <c r="B751" s="224"/>
      <c r="C751" s="224"/>
      <c r="D751" s="224"/>
      <c r="E751" s="224"/>
      <c r="F751" s="224"/>
      <c r="G751" s="224"/>
      <c r="H751" s="224"/>
    </row>
    <row r="752" spans="1:8" x14ac:dyDescent="0.2">
      <c r="A752" s="224" t="s">
        <v>1795</v>
      </c>
      <c r="B752" s="224"/>
      <c r="C752" s="224"/>
      <c r="D752" s="224"/>
      <c r="E752" s="225"/>
      <c r="F752" s="225"/>
      <c r="G752" s="225"/>
      <c r="H752" s="225"/>
    </row>
    <row r="753" spans="1:8" x14ac:dyDescent="0.2">
      <c r="A753" s="224"/>
      <c r="B753" s="225"/>
      <c r="C753" s="225"/>
      <c r="D753" s="225"/>
      <c r="E753" s="225"/>
      <c r="F753" s="225"/>
      <c r="G753" s="225"/>
      <c r="H753" s="225"/>
    </row>
    <row r="754" spans="1:8" x14ac:dyDescent="0.2">
      <c r="A754" s="224"/>
      <c r="B754" s="225"/>
      <c r="C754" s="225"/>
      <c r="D754" s="225"/>
      <c r="E754" s="225"/>
      <c r="F754" s="225"/>
      <c r="G754" s="225"/>
      <c r="H754" s="225"/>
    </row>
    <row r="755" spans="1:8" x14ac:dyDescent="0.2">
      <c r="A755" s="228" t="s">
        <v>1796</v>
      </c>
      <c r="B755" s="228"/>
      <c r="C755" s="228"/>
      <c r="D755" s="229"/>
      <c r="E755" s="229"/>
      <c r="F755" s="228"/>
      <c r="G755" s="228"/>
      <c r="H755" s="229" t="s">
        <v>1678</v>
      </c>
    </row>
    <row r="756" spans="1:8" x14ac:dyDescent="0.2">
      <c r="A756" s="224" t="s">
        <v>1797</v>
      </c>
      <c r="B756" s="224"/>
      <c r="C756" s="224"/>
      <c r="D756" s="224"/>
      <c r="E756" s="224"/>
      <c r="F756" s="224"/>
      <c r="G756" s="224"/>
      <c r="H756" s="224"/>
    </row>
    <row r="757" spans="1:8" x14ac:dyDescent="0.2">
      <c r="A757" s="224" t="s">
        <v>1798</v>
      </c>
      <c r="B757" s="224"/>
      <c r="C757" s="224"/>
      <c r="D757" s="224"/>
      <c r="E757" s="224"/>
      <c r="F757" s="224"/>
      <c r="G757" s="224"/>
      <c r="H757" s="224"/>
    </row>
    <row r="758" spans="1:8" x14ac:dyDescent="0.2">
      <c r="A758" s="224" t="s">
        <v>1799</v>
      </c>
      <c r="B758" s="224"/>
      <c r="C758" s="225"/>
      <c r="D758" s="225"/>
      <c r="E758" s="225"/>
      <c r="F758" s="225"/>
      <c r="G758" s="225"/>
      <c r="H758" s="225"/>
    </row>
    <row r="759" spans="1:8" x14ac:dyDescent="0.2">
      <c r="A759" s="224" t="s">
        <v>1800</v>
      </c>
      <c r="B759" s="224"/>
      <c r="C759" s="224"/>
      <c r="D759" s="224"/>
      <c r="E759" s="224"/>
      <c r="F759" s="225"/>
      <c r="G759" s="225"/>
      <c r="H759" s="225"/>
    </row>
    <row r="760" spans="1:8" x14ac:dyDescent="0.2">
      <c r="A760" s="224" t="s">
        <v>1801</v>
      </c>
      <c r="B760" s="224"/>
      <c r="C760" s="224"/>
      <c r="D760" s="224"/>
      <c r="E760" s="224"/>
      <c r="F760" s="224"/>
      <c r="G760" s="224"/>
      <c r="H760" s="224"/>
    </row>
    <row r="761" spans="1:8" x14ac:dyDescent="0.2">
      <c r="A761" s="224"/>
      <c r="B761" s="225"/>
      <c r="C761" s="225"/>
      <c r="D761" s="225"/>
      <c r="E761" s="225"/>
      <c r="F761" s="225"/>
      <c r="G761" s="225"/>
      <c r="H761" s="225"/>
    </row>
    <row r="762" spans="1:8" x14ac:dyDescent="0.2">
      <c r="A762" s="227" t="s">
        <v>1489</v>
      </c>
      <c r="B762" s="227"/>
      <c r="C762" s="225"/>
      <c r="D762" s="225"/>
      <c r="E762" s="225"/>
      <c r="F762" s="225"/>
      <c r="G762" s="225"/>
      <c r="H762" s="225"/>
    </row>
    <row r="763" spans="1:8" x14ac:dyDescent="0.2">
      <c r="A763" s="224"/>
      <c r="B763" s="225"/>
      <c r="C763" s="225"/>
      <c r="D763" s="225"/>
      <c r="E763" s="225"/>
      <c r="F763" s="225"/>
      <c r="G763" s="225"/>
      <c r="H763" s="225"/>
    </row>
    <row r="764" spans="1:8" x14ac:dyDescent="0.2">
      <c r="A764" s="224" t="s">
        <v>1802</v>
      </c>
      <c r="B764" s="224"/>
      <c r="C764" s="224"/>
      <c r="D764" s="224"/>
      <c r="E764" s="224"/>
      <c r="F764" s="224"/>
      <c r="G764" s="225"/>
      <c r="H764" s="225"/>
    </row>
    <row r="765" spans="1:8" x14ac:dyDescent="0.2">
      <c r="A765" s="224"/>
      <c r="B765" s="225"/>
      <c r="C765" s="225"/>
      <c r="D765" s="225"/>
      <c r="E765" s="225"/>
      <c r="F765" s="225"/>
      <c r="G765" s="225"/>
      <c r="H765" s="225"/>
    </row>
    <row r="766" spans="1:8" x14ac:dyDescent="0.2">
      <c r="A766" s="224"/>
      <c r="B766" s="225"/>
      <c r="C766" s="225"/>
      <c r="D766" s="225"/>
      <c r="E766" s="225" t="s">
        <v>1464</v>
      </c>
      <c r="F766" s="225"/>
      <c r="G766" s="225"/>
      <c r="H766" s="225"/>
    </row>
    <row r="767" spans="1:8" x14ac:dyDescent="0.2">
      <c r="A767" s="224"/>
      <c r="B767" s="305">
        <f>0.04+0.08*1.5</f>
        <v>0.16</v>
      </c>
      <c r="C767" s="225"/>
      <c r="D767" s="225"/>
      <c r="E767" s="225" t="s">
        <v>1803</v>
      </c>
      <c r="F767" s="225"/>
      <c r="G767" s="225"/>
      <c r="H767" s="225"/>
    </row>
    <row r="768" spans="1:8" x14ac:dyDescent="0.2">
      <c r="A768" s="224"/>
      <c r="B768" s="225"/>
      <c r="C768" s="225"/>
      <c r="D768" s="225"/>
      <c r="E768" s="225"/>
      <c r="F768" s="225"/>
      <c r="G768" s="225"/>
      <c r="H768" s="225"/>
    </row>
    <row r="769" spans="1:8" x14ac:dyDescent="0.2">
      <c r="A769" s="224"/>
      <c r="B769" s="225"/>
      <c r="C769" s="225"/>
      <c r="D769" s="225"/>
      <c r="E769" s="225"/>
      <c r="F769" s="225"/>
      <c r="G769" s="225"/>
      <c r="H769" s="225"/>
    </row>
    <row r="770" spans="1:8" x14ac:dyDescent="0.2">
      <c r="A770" s="224"/>
      <c r="B770" s="225"/>
      <c r="C770" s="225"/>
      <c r="D770" s="225"/>
      <c r="E770" s="225"/>
      <c r="F770" s="225"/>
      <c r="G770" s="225"/>
      <c r="H770" s="225"/>
    </row>
    <row r="771" spans="1:8" x14ac:dyDescent="0.2">
      <c r="A771" s="224" t="s">
        <v>1804</v>
      </c>
      <c r="B771" s="224"/>
      <c r="C771" s="224"/>
      <c r="D771" s="224"/>
      <c r="E771" s="224"/>
      <c r="F771" s="224"/>
      <c r="G771" s="225"/>
      <c r="H771" s="225"/>
    </row>
    <row r="772" spans="1:8" x14ac:dyDescent="0.2">
      <c r="A772" s="224"/>
      <c r="B772" s="225"/>
      <c r="C772" s="225"/>
      <c r="D772" s="225"/>
      <c r="E772" s="225"/>
      <c r="F772" s="225"/>
      <c r="G772" s="225"/>
      <c r="H772" s="225"/>
    </row>
    <row r="773" spans="1:8" x14ac:dyDescent="0.2">
      <c r="A773" s="239" t="s">
        <v>919</v>
      </c>
      <c r="B773" s="239" t="s">
        <v>52</v>
      </c>
      <c r="C773" s="25" t="s">
        <v>1805</v>
      </c>
      <c r="D773" s="25" t="s">
        <v>1806</v>
      </c>
      <c r="E773" s="225"/>
      <c r="F773" s="225"/>
      <c r="G773" s="225"/>
      <c r="H773" s="225"/>
    </row>
    <row r="774" spans="1:8" x14ac:dyDescent="0.2">
      <c r="A774" s="231">
        <v>1</v>
      </c>
      <c r="B774" s="241">
        <v>5000000</v>
      </c>
      <c r="D774" s="12">
        <f>B774+C774</f>
        <v>5000000</v>
      </c>
      <c r="E774" s="225"/>
      <c r="F774" s="224"/>
      <c r="G774" s="224"/>
      <c r="H774" s="224"/>
    </row>
    <row r="775" spans="1:8" x14ac:dyDescent="0.2">
      <c r="A775" s="231">
        <v>2</v>
      </c>
      <c r="B775" s="241">
        <v>5000000</v>
      </c>
      <c r="D775" s="12">
        <f>B775+C775</f>
        <v>5000000</v>
      </c>
      <c r="E775" s="225"/>
      <c r="F775" s="224"/>
      <c r="G775" s="224"/>
      <c r="H775" s="224"/>
    </row>
    <row r="776" spans="1:8" x14ac:dyDescent="0.2">
      <c r="A776" s="231">
        <v>3</v>
      </c>
      <c r="B776" s="241">
        <v>5000000</v>
      </c>
      <c r="D776" s="12">
        <f>B776+C776</f>
        <v>5000000</v>
      </c>
      <c r="E776" s="225"/>
      <c r="F776" s="225"/>
      <c r="G776" s="225"/>
      <c r="H776" s="225"/>
    </row>
    <row r="777" spans="1:8" x14ac:dyDescent="0.2">
      <c r="A777" s="231">
        <v>4</v>
      </c>
      <c r="B777" s="241">
        <v>5000000</v>
      </c>
      <c r="D777" s="12">
        <f>B777+C777</f>
        <v>5000000</v>
      </c>
      <c r="E777" s="225"/>
      <c r="F777" s="225"/>
      <c r="G777" s="225"/>
      <c r="H777" s="225"/>
    </row>
    <row r="778" spans="1:8" x14ac:dyDescent="0.2">
      <c r="A778" s="231">
        <v>5</v>
      </c>
      <c r="B778" s="241">
        <v>5000000</v>
      </c>
      <c r="C778" s="243">
        <f>B779/B767</f>
        <v>40625000</v>
      </c>
      <c r="D778" s="12">
        <f>B778+C778</f>
        <v>45625000</v>
      </c>
      <c r="E778" s="225"/>
      <c r="F778" s="224"/>
      <c r="G778" s="224"/>
      <c r="H778" s="224"/>
    </row>
    <row r="779" spans="1:8" x14ac:dyDescent="0.2">
      <c r="A779" s="242" t="s">
        <v>1500</v>
      </c>
      <c r="B779" s="243">
        <v>6500000</v>
      </c>
      <c r="D779" s="12"/>
      <c r="E779" s="224" t="s">
        <v>1807</v>
      </c>
      <c r="F779" s="224"/>
      <c r="G779" s="224"/>
      <c r="H779" s="225"/>
    </row>
    <row r="780" spans="1:8" x14ac:dyDescent="0.2">
      <c r="A780" s="224"/>
      <c r="B780" s="225"/>
      <c r="C780" s="225"/>
      <c r="D780" s="225"/>
      <c r="E780" s="225"/>
      <c r="F780" s="225"/>
      <c r="G780" s="225"/>
      <c r="H780" s="225"/>
    </row>
    <row r="781" spans="1:8" x14ac:dyDescent="0.2">
      <c r="A781" s="224" t="s">
        <v>1808</v>
      </c>
      <c r="B781" s="225"/>
      <c r="C781" s="225"/>
      <c r="D781" s="306">
        <f>NPV(B767,D774:D778)</f>
        <v>35713559.519508153</v>
      </c>
      <c r="E781" s="225" t="s">
        <v>1809</v>
      </c>
      <c r="F781" s="225"/>
      <c r="G781" s="225"/>
      <c r="H781" s="225"/>
    </row>
    <row r="782" spans="1:8" x14ac:dyDescent="0.2">
      <c r="A782" s="224"/>
      <c r="B782" s="244"/>
      <c r="C782" s="225"/>
      <c r="D782" s="225"/>
      <c r="E782" s="225"/>
      <c r="F782" s="225"/>
      <c r="G782" s="225"/>
      <c r="H782" s="225"/>
    </row>
    <row r="783" spans="1:8" x14ac:dyDescent="0.2">
      <c r="A783" s="227" t="s">
        <v>1810</v>
      </c>
      <c r="B783" s="225"/>
      <c r="C783" s="225"/>
      <c r="D783" s="225"/>
      <c r="E783" s="225"/>
      <c r="F783" s="225"/>
      <c r="G783" s="225"/>
      <c r="H783" s="225"/>
    </row>
    <row r="784" spans="1:8" x14ac:dyDescent="0.2">
      <c r="A784" s="224"/>
      <c r="B784" s="225"/>
      <c r="C784" s="225"/>
      <c r="D784" s="225"/>
      <c r="E784" s="225"/>
      <c r="F784" s="225"/>
      <c r="G784" s="225"/>
      <c r="H784" s="225"/>
    </row>
    <row r="785" spans="1:8" x14ac:dyDescent="0.2">
      <c r="A785" s="294" t="s">
        <v>1811</v>
      </c>
      <c r="B785" s="245"/>
      <c r="C785" s="245"/>
      <c r="D785" s="245"/>
      <c r="E785" s="245"/>
      <c r="F785" s="245"/>
      <c r="G785" s="245"/>
      <c r="H785" s="245" t="s">
        <v>1678</v>
      </c>
    </row>
    <row r="786" spans="1:8" x14ac:dyDescent="0.2">
      <c r="A786" s="283" t="s">
        <v>1812</v>
      </c>
    </row>
    <row r="787" spans="1:8" x14ac:dyDescent="0.2">
      <c r="A787" s="283" t="s">
        <v>1813</v>
      </c>
    </row>
    <row r="788" spans="1:8" x14ac:dyDescent="0.2">
      <c r="A788" s="283" t="s">
        <v>1814</v>
      </c>
    </row>
    <row r="789" spans="1:8" x14ac:dyDescent="0.2">
      <c r="A789" s="283" t="s">
        <v>1815</v>
      </c>
    </row>
    <row r="790" spans="1:8" x14ac:dyDescent="0.2">
      <c r="A790" s="283" t="s">
        <v>1816</v>
      </c>
    </row>
    <row r="792" spans="1:8" x14ac:dyDescent="0.2">
      <c r="A792" s="283" t="s">
        <v>282</v>
      </c>
    </row>
    <row r="793" spans="1:8" x14ac:dyDescent="0.2">
      <c r="A793" s="283" t="s">
        <v>1817</v>
      </c>
    </row>
    <row r="794" spans="1:8" x14ac:dyDescent="0.2">
      <c r="A794" s="283" t="s">
        <v>1818</v>
      </c>
    </row>
    <row r="795" spans="1:8" x14ac:dyDescent="0.2">
      <c r="A795" s="283" t="s">
        <v>1819</v>
      </c>
    </row>
    <row r="796" spans="1:8" x14ac:dyDescent="0.2">
      <c r="A796" s="283" t="s">
        <v>1820</v>
      </c>
    </row>
    <row r="797" spans="1:8" x14ac:dyDescent="0.2">
      <c r="A797" s="283" t="s">
        <v>1821</v>
      </c>
    </row>
    <row r="799" spans="1:8" x14ac:dyDescent="0.2">
      <c r="A799" s="295" t="s">
        <v>1822</v>
      </c>
      <c r="B799" s="38"/>
      <c r="C799" s="38"/>
      <c r="D799" s="38"/>
      <c r="E799" s="38"/>
      <c r="F799" s="38"/>
      <c r="G799" s="38"/>
      <c r="H799" s="38"/>
    </row>
    <row r="801" spans="1:3" x14ac:dyDescent="0.2">
      <c r="A801" s="283" t="s">
        <v>1823</v>
      </c>
    </row>
    <row r="804" spans="1:3" x14ac:dyDescent="0.2">
      <c r="A804" s="283" t="s">
        <v>1824</v>
      </c>
    </row>
    <row r="805" spans="1:3" x14ac:dyDescent="0.2">
      <c r="A805" s="283" t="s">
        <v>1825</v>
      </c>
    </row>
    <row r="807" spans="1:3" x14ac:dyDescent="0.2">
      <c r="A807" s="283" t="s">
        <v>1826</v>
      </c>
    </row>
    <row r="808" spans="1:3" x14ac:dyDescent="0.2">
      <c r="B808" s="37" t="s">
        <v>1083</v>
      </c>
      <c r="C808" s="1" t="s">
        <v>1827</v>
      </c>
    </row>
    <row r="809" spans="1:3" x14ac:dyDescent="0.2">
      <c r="B809" s="37" t="s">
        <v>1084</v>
      </c>
      <c r="C809" s="1" t="s">
        <v>1828</v>
      </c>
    </row>
    <row r="810" spans="1:3" x14ac:dyDescent="0.2">
      <c r="B810" s="37"/>
      <c r="C810" s="1" t="s">
        <v>1829</v>
      </c>
    </row>
    <row r="811" spans="1:3" x14ac:dyDescent="0.2">
      <c r="B811" s="37" t="s">
        <v>1433</v>
      </c>
      <c r="C811" s="1" t="s">
        <v>1830</v>
      </c>
    </row>
    <row r="813" spans="1:3" x14ac:dyDescent="0.2">
      <c r="A813" s="283" t="s">
        <v>1831</v>
      </c>
    </row>
    <row r="818" spans="1:4" x14ac:dyDescent="0.2">
      <c r="A818" s="283" t="s">
        <v>1832</v>
      </c>
    </row>
    <row r="819" spans="1:4" x14ac:dyDescent="0.2">
      <c r="A819" s="283" t="s">
        <v>1833</v>
      </c>
    </row>
    <row r="821" spans="1:4" x14ac:dyDescent="0.2">
      <c r="A821" s="283" t="s">
        <v>1834</v>
      </c>
    </row>
    <row r="822" spans="1:4" x14ac:dyDescent="0.2">
      <c r="A822" s="283" t="s">
        <v>1835</v>
      </c>
      <c r="D822" s="12"/>
    </row>
    <row r="823" spans="1:4" x14ac:dyDescent="0.2">
      <c r="D823" s="12"/>
    </row>
    <row r="824" spans="1:4" x14ac:dyDescent="0.2">
      <c r="A824" s="283" t="s">
        <v>1836</v>
      </c>
    </row>
    <row r="825" spans="1:4" x14ac:dyDescent="0.2">
      <c r="B825" s="1" t="s">
        <v>1837</v>
      </c>
      <c r="C825" s="12">
        <v>3000000</v>
      </c>
      <c r="D825" s="1" t="s">
        <v>104</v>
      </c>
    </row>
    <row r="826" spans="1:4" x14ac:dyDescent="0.2">
      <c r="B826" s="1" t="s">
        <v>1838</v>
      </c>
    </row>
    <row r="830" spans="1:4" x14ac:dyDescent="0.2">
      <c r="A830" s="283" t="s">
        <v>1839</v>
      </c>
    </row>
    <row r="834" spans="1:1" x14ac:dyDescent="0.2">
      <c r="A834" s="283" t="s">
        <v>1840</v>
      </c>
    </row>
    <row r="836" spans="1:1" x14ac:dyDescent="0.2">
      <c r="A836" s="283" t="s">
        <v>1841</v>
      </c>
    </row>
    <row r="838" spans="1:1" x14ac:dyDescent="0.2">
      <c r="A838" s="283" t="s">
        <v>1842</v>
      </c>
    </row>
    <row r="845" spans="1:1" x14ac:dyDescent="0.2">
      <c r="A845" s="283" t="s">
        <v>1843</v>
      </c>
    </row>
    <row r="851" spans="1:8" x14ac:dyDescent="0.2">
      <c r="A851" s="295" t="s">
        <v>1844</v>
      </c>
      <c r="B851" s="38"/>
      <c r="C851" s="38"/>
      <c r="D851" s="38"/>
      <c r="E851" s="38"/>
      <c r="F851" s="38"/>
      <c r="G851" s="38"/>
      <c r="H851" s="38"/>
    </row>
    <row r="853" spans="1:8" x14ac:dyDescent="0.2">
      <c r="A853" s="283" t="s">
        <v>1845</v>
      </c>
    </row>
    <row r="854" spans="1:8" x14ac:dyDescent="0.2">
      <c r="A854" s="283" t="s">
        <v>1846</v>
      </c>
    </row>
    <row r="856" spans="1:8" x14ac:dyDescent="0.2">
      <c r="C856" s="1" t="s">
        <v>35</v>
      </c>
      <c r="D856" s="1" t="s">
        <v>52</v>
      </c>
    </row>
    <row r="857" spans="1:8" x14ac:dyDescent="0.2">
      <c r="C857" s="1">
        <v>0</v>
      </c>
      <c r="D857" s="12">
        <v>-1000000</v>
      </c>
    </row>
    <row r="858" spans="1:8" x14ac:dyDescent="0.2">
      <c r="C858" s="1">
        <v>1</v>
      </c>
      <c r="D858" s="12">
        <v>300000</v>
      </c>
    </row>
    <row r="859" spans="1:8" x14ac:dyDescent="0.2">
      <c r="C859" s="1">
        <v>2</v>
      </c>
      <c r="D859" s="12">
        <f>D858</f>
        <v>300000</v>
      </c>
    </row>
    <row r="860" spans="1:8" x14ac:dyDescent="0.2">
      <c r="C860" s="1">
        <v>3</v>
      </c>
      <c r="D860" s="12">
        <f>D859</f>
        <v>300000</v>
      </c>
    </row>
    <row r="861" spans="1:8" x14ac:dyDescent="0.2">
      <c r="C861" s="1">
        <v>4</v>
      </c>
      <c r="D861" s="12">
        <f>D860</f>
        <v>300000</v>
      </c>
    </row>
    <row r="863" spans="1:8" x14ac:dyDescent="0.2">
      <c r="C863" s="1" t="s">
        <v>1847</v>
      </c>
      <c r="D863" s="246">
        <v>0.11156000000000001</v>
      </c>
      <c r="E863" s="1" t="s">
        <v>1848</v>
      </c>
    </row>
    <row r="865" spans="1:8" x14ac:dyDescent="0.2">
      <c r="D865" s="247">
        <f>NPV(D863,D858:D861)+D857</f>
        <v>-72357.86768250016</v>
      </c>
      <c r="E865" s="1" t="s">
        <v>1849</v>
      </c>
      <c r="H865" s="1" t="str">
        <f ca="1">_xlfn.FORMULATEXT(D865)</f>
        <v>=NPV(D863,D858:D861)+D857</v>
      </c>
    </row>
    <row r="867" spans="1:8" x14ac:dyDescent="0.2">
      <c r="A867" s="283" t="s">
        <v>1850</v>
      </c>
    </row>
    <row r="869" spans="1:8" x14ac:dyDescent="0.2">
      <c r="A869" s="295" t="s">
        <v>1851</v>
      </c>
      <c r="B869" s="38"/>
      <c r="C869" s="38"/>
      <c r="D869" s="38"/>
      <c r="E869" s="38"/>
      <c r="F869" s="38"/>
      <c r="G869" s="38"/>
      <c r="H869" s="38"/>
    </row>
    <row r="871" spans="1:8" x14ac:dyDescent="0.2">
      <c r="A871" s="283" t="s">
        <v>1852</v>
      </c>
    </row>
    <row r="872" spans="1:8" x14ac:dyDescent="0.2">
      <c r="A872" s="283" t="s">
        <v>1853</v>
      </c>
    </row>
    <row r="873" spans="1:8" x14ac:dyDescent="0.2">
      <c r="A873" s="283" t="s">
        <v>1854</v>
      </c>
    </row>
    <row r="874" spans="1:8" x14ac:dyDescent="0.2">
      <c r="A874" s="283" t="s">
        <v>1855</v>
      </c>
    </row>
    <row r="876" spans="1:8" x14ac:dyDescent="0.2">
      <c r="A876" s="283" t="s">
        <v>1856</v>
      </c>
    </row>
    <row r="877" spans="1:8" x14ac:dyDescent="0.2">
      <c r="A877" s="283" t="s">
        <v>1857</v>
      </c>
    </row>
    <row r="878" spans="1:8" x14ac:dyDescent="0.2">
      <c r="A878" s="283" t="s">
        <v>1858</v>
      </c>
    </row>
    <row r="879" spans="1:8" ht="17" thickBot="1" x14ac:dyDescent="0.25"/>
    <row r="880" spans="1:8" x14ac:dyDescent="0.2">
      <c r="A880" s="296" t="s">
        <v>1859</v>
      </c>
      <c r="B880" s="125"/>
      <c r="C880" s="125"/>
      <c r="D880" s="125"/>
      <c r="E880" s="125"/>
      <c r="F880" s="125"/>
      <c r="G880" s="125"/>
      <c r="H880" s="248"/>
    </row>
    <row r="881" spans="1:8" x14ac:dyDescent="0.2">
      <c r="A881" s="297" t="s">
        <v>1860</v>
      </c>
      <c r="B881" s="4"/>
      <c r="C881" s="4"/>
      <c r="D881" s="4"/>
      <c r="E881" s="4"/>
      <c r="F881" s="4"/>
      <c r="G881" s="4"/>
      <c r="H881" s="249"/>
    </row>
    <row r="882" spans="1:8" ht="17" thickBot="1" x14ac:dyDescent="0.25">
      <c r="A882" s="298" t="s">
        <v>1861</v>
      </c>
      <c r="B882" s="128"/>
      <c r="C882" s="128"/>
      <c r="D882" s="128"/>
      <c r="E882" s="128"/>
      <c r="F882" s="128"/>
      <c r="G882" s="128"/>
      <c r="H882" s="250"/>
    </row>
    <row r="884" spans="1:8" x14ac:dyDescent="0.2">
      <c r="A884" s="294" t="s">
        <v>1862</v>
      </c>
      <c r="B884" s="245"/>
      <c r="C884" s="245"/>
      <c r="D884" s="245"/>
      <c r="E884" s="245"/>
      <c r="F884" s="245"/>
      <c r="G884" s="245"/>
      <c r="H884" s="245" t="s">
        <v>1678</v>
      </c>
    </row>
    <row r="885" spans="1:8" x14ac:dyDescent="0.2">
      <c r="A885" s="283" t="s">
        <v>1863</v>
      </c>
    </row>
    <row r="886" spans="1:8" x14ac:dyDescent="0.2">
      <c r="A886" s="283" t="s">
        <v>1864</v>
      </c>
    </row>
    <row r="887" spans="1:8" x14ac:dyDescent="0.2">
      <c r="A887" s="283" t="s">
        <v>1865</v>
      </c>
    </row>
    <row r="888" spans="1:8" x14ac:dyDescent="0.2">
      <c r="A888" s="283" t="s">
        <v>1866</v>
      </c>
    </row>
    <row r="889" spans="1:8" x14ac:dyDescent="0.2">
      <c r="A889" s="283" t="s">
        <v>1867</v>
      </c>
    </row>
    <row r="890" spans="1:8" x14ac:dyDescent="0.2">
      <c r="A890" s="283" t="s">
        <v>1868</v>
      </c>
    </row>
    <row r="891" spans="1:8" x14ac:dyDescent="0.2">
      <c r="A891" s="283" t="s">
        <v>1869</v>
      </c>
    </row>
    <row r="893" spans="1:8" x14ac:dyDescent="0.2">
      <c r="A893" s="282" t="s">
        <v>1870</v>
      </c>
    </row>
    <row r="894" spans="1:8" ht="17" thickBot="1" x14ac:dyDescent="0.25">
      <c r="A894" s="282"/>
    </row>
    <row r="895" spans="1:8" x14ac:dyDescent="0.2">
      <c r="A895" s="299" t="s">
        <v>1871</v>
      </c>
      <c r="B895" s="251"/>
      <c r="C895" s="251"/>
      <c r="D895" s="251"/>
      <c r="E895" s="251"/>
      <c r="F895" s="251"/>
      <c r="G895" s="251"/>
      <c r="H895" s="252"/>
    </row>
    <row r="896" spans="1:8" x14ac:dyDescent="0.2">
      <c r="A896" s="300" t="s">
        <v>1872</v>
      </c>
      <c r="B896" s="253"/>
      <c r="C896" s="253"/>
      <c r="D896" s="253"/>
      <c r="E896" s="253"/>
      <c r="F896" s="253"/>
      <c r="G896" s="253"/>
      <c r="H896" s="254"/>
    </row>
    <row r="897" spans="1:8" ht="17" thickBot="1" x14ac:dyDescent="0.25">
      <c r="A897" s="301" t="s">
        <v>1873</v>
      </c>
      <c r="B897" s="255"/>
      <c r="C897" s="255"/>
      <c r="D897" s="255"/>
      <c r="E897" s="255"/>
      <c r="F897" s="255"/>
      <c r="G897" s="255"/>
      <c r="H897" s="256"/>
    </row>
    <row r="899" spans="1:8" x14ac:dyDescent="0.2">
      <c r="A899" s="295" t="s">
        <v>1874</v>
      </c>
      <c r="B899" s="38"/>
      <c r="C899" s="38"/>
      <c r="D899" s="38"/>
      <c r="E899" s="38"/>
      <c r="F899" s="38"/>
      <c r="G899" s="38"/>
      <c r="H899" s="38"/>
    </row>
    <row r="901" spans="1:8" x14ac:dyDescent="0.2">
      <c r="A901" s="283" t="s">
        <v>1875</v>
      </c>
    </row>
    <row r="902" spans="1:8" x14ac:dyDescent="0.2">
      <c r="A902" s="283" t="s">
        <v>1876</v>
      </c>
    </row>
    <row r="904" spans="1:8" x14ac:dyDescent="0.2">
      <c r="A904" s="282" t="s">
        <v>1877</v>
      </c>
    </row>
    <row r="906" spans="1:8" x14ac:dyDescent="0.2">
      <c r="A906" s="283" t="s">
        <v>1878</v>
      </c>
      <c r="F906" s="1" t="s">
        <v>1879</v>
      </c>
    </row>
    <row r="907" spans="1:8" x14ac:dyDescent="0.2">
      <c r="A907" s="283" t="s">
        <v>1880</v>
      </c>
      <c r="C907" s="12">
        <v>150000000</v>
      </c>
    </row>
    <row r="908" spans="1:8" x14ac:dyDescent="0.2">
      <c r="A908" s="283" t="s">
        <v>1881</v>
      </c>
      <c r="C908" s="11">
        <v>0.05</v>
      </c>
    </row>
    <row r="909" spans="1:8" x14ac:dyDescent="0.2">
      <c r="A909" s="283" t="s">
        <v>1882</v>
      </c>
      <c r="C909" s="12">
        <f>C908*C907</f>
        <v>7500000</v>
      </c>
      <c r="E909" s="1" t="s">
        <v>1883</v>
      </c>
    </row>
    <row r="911" spans="1:8" x14ac:dyDescent="0.2">
      <c r="A911" s="234" t="s">
        <v>1884</v>
      </c>
      <c r="B911" s="13"/>
      <c r="C911" s="13"/>
      <c r="D911" s="13"/>
      <c r="E911" s="13"/>
      <c r="F911" s="13"/>
      <c r="G911" s="13"/>
      <c r="H911" s="13"/>
    </row>
    <row r="912" spans="1:8" x14ac:dyDescent="0.2">
      <c r="A912" s="234" t="s">
        <v>1885</v>
      </c>
      <c r="B912" s="13"/>
      <c r="C912" s="13"/>
      <c r="D912" s="13"/>
      <c r="E912" s="13"/>
      <c r="F912" s="13"/>
      <c r="G912" s="13"/>
      <c r="H912" s="13"/>
    </row>
    <row r="916" spans="1:1" x14ac:dyDescent="0.2">
      <c r="A916" s="282" t="s">
        <v>1886</v>
      </c>
    </row>
    <row r="918" spans="1:1" x14ac:dyDescent="0.2">
      <c r="A918" s="283" t="s">
        <v>1887</v>
      </c>
    </row>
    <row r="919" spans="1:1" x14ac:dyDescent="0.2">
      <c r="A919" s="283" t="s">
        <v>1888</v>
      </c>
    </row>
    <row r="920" spans="1:1" x14ac:dyDescent="0.2">
      <c r="A920" s="283" t="s">
        <v>1889</v>
      </c>
    </row>
    <row r="922" spans="1:1" x14ac:dyDescent="0.2">
      <c r="A922" s="283" t="s">
        <v>1890</v>
      </c>
    </row>
    <row r="924" spans="1:1" x14ac:dyDescent="0.2">
      <c r="A924" s="283" t="s">
        <v>1891</v>
      </c>
    </row>
    <row r="926" spans="1:1" x14ac:dyDescent="0.2">
      <c r="A926" s="283" t="s">
        <v>1892</v>
      </c>
    </row>
    <row r="927" spans="1:1" x14ac:dyDescent="0.2">
      <c r="A927" s="283" t="s">
        <v>1893</v>
      </c>
    </row>
    <row r="929" spans="1:6" x14ac:dyDescent="0.2">
      <c r="A929" s="283" t="s">
        <v>1894</v>
      </c>
      <c r="C929" s="12">
        <v>2000000</v>
      </c>
    </row>
    <row r="931" spans="1:6" x14ac:dyDescent="0.2">
      <c r="A931" s="283" t="s">
        <v>1895</v>
      </c>
    </row>
    <row r="932" spans="1:6" x14ac:dyDescent="0.2">
      <c r="C932" s="1">
        <f>240000000/2000000</f>
        <v>120</v>
      </c>
      <c r="E932" s="1" t="s">
        <v>1896</v>
      </c>
      <c r="F932" s="1" t="s">
        <v>878</v>
      </c>
    </row>
    <row r="934" spans="1:6" x14ac:dyDescent="0.2">
      <c r="A934" s="283" t="s">
        <v>1897</v>
      </c>
    </row>
    <row r="935" spans="1:6" x14ac:dyDescent="0.2">
      <c r="A935" s="283" t="s">
        <v>1898</v>
      </c>
    </row>
    <row r="936" spans="1:6" x14ac:dyDescent="0.2">
      <c r="A936" s="283" t="s">
        <v>1899</v>
      </c>
    </row>
    <row r="938" spans="1:6" x14ac:dyDescent="0.2">
      <c r="A938" s="283" t="s">
        <v>1900</v>
      </c>
    </row>
    <row r="939" spans="1:6" x14ac:dyDescent="0.2">
      <c r="A939" s="283" t="s">
        <v>1901</v>
      </c>
    </row>
    <row r="940" spans="1:6" x14ac:dyDescent="0.2">
      <c r="A940" s="283" t="s">
        <v>1902</v>
      </c>
    </row>
    <row r="941" spans="1:6" x14ac:dyDescent="0.2">
      <c r="A941" s="283" t="s">
        <v>1903</v>
      </c>
    </row>
    <row r="943" spans="1:6" x14ac:dyDescent="0.2">
      <c r="A943" s="283" t="s">
        <v>1904</v>
      </c>
    </row>
    <row r="947" spans="1:6" x14ac:dyDescent="0.2">
      <c r="A947" s="283" t="s">
        <v>1905</v>
      </c>
    </row>
    <row r="948" spans="1:6" x14ac:dyDescent="0.2">
      <c r="A948" s="283" t="s">
        <v>1906</v>
      </c>
      <c r="D948" s="43"/>
    </row>
    <row r="950" spans="1:6" x14ac:dyDescent="0.2">
      <c r="A950" s="282" t="s">
        <v>1907</v>
      </c>
    </row>
    <row r="956" spans="1:6" x14ac:dyDescent="0.2">
      <c r="A956" s="283" t="s">
        <v>1908</v>
      </c>
    </row>
    <row r="957" spans="1:6" x14ac:dyDescent="0.2">
      <c r="B957" s="1" t="s">
        <v>1909</v>
      </c>
    </row>
    <row r="958" spans="1:6" x14ac:dyDescent="0.2">
      <c r="B958" s="1" t="s">
        <v>1910</v>
      </c>
      <c r="D958" s="1" t="s">
        <v>1911</v>
      </c>
      <c r="F958" s="1" t="s">
        <v>1912</v>
      </c>
    </row>
    <row r="959" spans="1:6" x14ac:dyDescent="0.2">
      <c r="B959" s="1" t="s">
        <v>1913</v>
      </c>
      <c r="D959" s="1" t="s">
        <v>1914</v>
      </c>
      <c r="F959" s="1" t="s">
        <v>1915</v>
      </c>
    </row>
    <row r="960" spans="1:6" x14ac:dyDescent="0.2">
      <c r="B960" s="1" t="s">
        <v>1908</v>
      </c>
      <c r="D960" s="1" t="s">
        <v>1916</v>
      </c>
      <c r="F960" s="1" t="s">
        <v>1916</v>
      </c>
    </row>
    <row r="963" spans="1:8" x14ac:dyDescent="0.2">
      <c r="A963" s="294" t="s">
        <v>1917</v>
      </c>
      <c r="B963" s="245"/>
      <c r="C963" s="245"/>
      <c r="D963" s="245"/>
      <c r="E963" s="245"/>
      <c r="F963" s="245"/>
      <c r="G963" s="245"/>
      <c r="H963" s="245" t="s">
        <v>1678</v>
      </c>
    </row>
    <row r="964" spans="1:8" x14ac:dyDescent="0.2">
      <c r="A964" s="283" t="s">
        <v>1918</v>
      </c>
    </row>
    <row r="965" spans="1:8" x14ac:dyDescent="0.2">
      <c r="A965" s="283" t="s">
        <v>1919</v>
      </c>
    </row>
    <row r="966" spans="1:8" x14ac:dyDescent="0.2">
      <c r="A966" s="283" t="s">
        <v>1920</v>
      </c>
    </row>
    <row r="967" spans="1:8" x14ac:dyDescent="0.2">
      <c r="A967" s="283" t="s">
        <v>1921</v>
      </c>
    </row>
    <row r="968" spans="1:8" x14ac:dyDescent="0.2">
      <c r="A968" s="283" t="s">
        <v>1922</v>
      </c>
    </row>
    <row r="969" spans="1:8" x14ac:dyDescent="0.2">
      <c r="A969" s="283" t="s">
        <v>1923</v>
      </c>
    </row>
    <row r="970" spans="1:8" x14ac:dyDescent="0.2">
      <c r="A970" s="283" t="s">
        <v>1924</v>
      </c>
    </row>
    <row r="971" spans="1:8" x14ac:dyDescent="0.2">
      <c r="A971" s="283" t="s">
        <v>1925</v>
      </c>
    </row>
    <row r="973" spans="1:8" x14ac:dyDescent="0.2">
      <c r="A973" s="283" t="s">
        <v>282</v>
      </c>
    </row>
    <row r="974" spans="1:8" x14ac:dyDescent="0.2">
      <c r="A974" s="283" t="s">
        <v>1926</v>
      </c>
    </row>
    <row r="975" spans="1:8" x14ac:dyDescent="0.2">
      <c r="A975" s="283" t="s">
        <v>1927</v>
      </c>
    </row>
    <row r="977" spans="1:8" x14ac:dyDescent="0.2">
      <c r="A977" s="295" t="s">
        <v>1928</v>
      </c>
      <c r="B977" s="38"/>
      <c r="C977" s="38"/>
      <c r="D977" s="38"/>
      <c r="E977" s="38"/>
      <c r="F977" s="38"/>
      <c r="G977" s="38"/>
      <c r="H977" s="38"/>
    </row>
    <row r="979" spans="1:8" x14ac:dyDescent="0.2">
      <c r="A979" s="283" t="s">
        <v>1929</v>
      </c>
    </row>
    <row r="980" spans="1:8" x14ac:dyDescent="0.2">
      <c r="A980" s="283" t="s">
        <v>1930</v>
      </c>
    </row>
    <row r="981" spans="1:8" x14ac:dyDescent="0.2">
      <c r="A981" s="283" t="s">
        <v>1931</v>
      </c>
    </row>
    <row r="982" spans="1:8" x14ac:dyDescent="0.2">
      <c r="A982" s="283" t="s">
        <v>1932</v>
      </c>
    </row>
    <row r="984" spans="1:8" x14ac:dyDescent="0.2">
      <c r="A984" s="283" t="s">
        <v>1933</v>
      </c>
    </row>
    <row r="985" spans="1:8" x14ac:dyDescent="0.2">
      <c r="A985" s="283" t="s">
        <v>1934</v>
      </c>
    </row>
    <row r="986" spans="1:8" x14ac:dyDescent="0.2">
      <c r="A986" s="283" t="s">
        <v>1935</v>
      </c>
    </row>
    <row r="988" spans="1:8" x14ac:dyDescent="0.2">
      <c r="A988" s="282" t="s">
        <v>1936</v>
      </c>
    </row>
    <row r="989" spans="1:8" x14ac:dyDescent="0.2">
      <c r="A989" s="283" t="s">
        <v>1937</v>
      </c>
      <c r="D989" s="11">
        <v>0.04</v>
      </c>
    </row>
    <row r="991" spans="1:8" x14ac:dyDescent="0.2">
      <c r="A991" s="282" t="s">
        <v>1938</v>
      </c>
    </row>
    <row r="992" spans="1:8" x14ac:dyDescent="0.2">
      <c r="A992" s="283" t="s">
        <v>1937</v>
      </c>
      <c r="D992" s="11">
        <v>0.26</v>
      </c>
    </row>
    <row r="994" spans="1:7" x14ac:dyDescent="0.2">
      <c r="A994" s="282" t="s">
        <v>1907</v>
      </c>
    </row>
    <row r="997" spans="1:7" x14ac:dyDescent="0.2">
      <c r="A997" s="283" t="s">
        <v>1939</v>
      </c>
    </row>
    <row r="998" spans="1:7" x14ac:dyDescent="0.2">
      <c r="A998" s="283" t="s">
        <v>1940</v>
      </c>
    </row>
    <row r="999" spans="1:7" x14ac:dyDescent="0.2">
      <c r="A999" s="283" t="s">
        <v>1941</v>
      </c>
    </row>
    <row r="1001" spans="1:7" x14ac:dyDescent="0.2">
      <c r="A1001" s="302" t="s">
        <v>1942</v>
      </c>
    </row>
    <row r="1002" spans="1:7" x14ac:dyDescent="0.2">
      <c r="A1002" s="283" t="s">
        <v>1943</v>
      </c>
    </row>
    <row r="1003" spans="1:7" x14ac:dyDescent="0.2">
      <c r="A1003" s="283" t="s">
        <v>1944</v>
      </c>
      <c r="G1003" s="1" t="s">
        <v>1945</v>
      </c>
    </row>
    <row r="1005" spans="1:7" x14ac:dyDescent="0.2">
      <c r="A1005" s="283" t="s">
        <v>1946</v>
      </c>
    </row>
    <row r="1007" spans="1:7" x14ac:dyDescent="0.2">
      <c r="A1007" s="283" t="s">
        <v>1947</v>
      </c>
    </row>
    <row r="1009" spans="1:6" x14ac:dyDescent="0.2">
      <c r="A1009" s="283" t="s">
        <v>1948</v>
      </c>
    </row>
    <row r="1011" spans="1:6" x14ac:dyDescent="0.2">
      <c r="A1011" s="283" t="s">
        <v>1949</v>
      </c>
    </row>
    <row r="1014" spans="1:6" x14ac:dyDescent="0.2">
      <c r="A1014" s="302" t="s">
        <v>1950</v>
      </c>
    </row>
    <row r="1015" spans="1:6" x14ac:dyDescent="0.2">
      <c r="A1015" s="283" t="s">
        <v>1951</v>
      </c>
    </row>
    <row r="1016" spans="1:6" x14ac:dyDescent="0.2">
      <c r="A1016" s="302"/>
    </row>
    <row r="1019" spans="1:6" x14ac:dyDescent="0.2">
      <c r="A1019" s="302" t="s">
        <v>1952</v>
      </c>
    </row>
    <row r="1020" spans="1:6" x14ac:dyDescent="0.2">
      <c r="A1020" s="283" t="s">
        <v>1953</v>
      </c>
    </row>
    <row r="1022" spans="1:6" x14ac:dyDescent="0.2">
      <c r="A1022" s="302"/>
      <c r="B1022" s="1" t="s">
        <v>1954</v>
      </c>
      <c r="F1022" s="1" t="s">
        <v>1955</v>
      </c>
    </row>
    <row r="1023" spans="1:6" x14ac:dyDescent="0.2">
      <c r="A1023" s="302"/>
    </row>
    <row r="1024" spans="1:6" x14ac:dyDescent="0.2">
      <c r="A1024" s="302"/>
      <c r="B1024" s="1" t="s">
        <v>1956</v>
      </c>
      <c r="F1024" s="1" t="s">
        <v>1957</v>
      </c>
    </row>
    <row r="1025" spans="1:2" x14ac:dyDescent="0.2">
      <c r="A1025" s="302"/>
    </row>
    <row r="1026" spans="1:2" x14ac:dyDescent="0.2">
      <c r="B1026" s="1" t="s">
        <v>897</v>
      </c>
    </row>
    <row r="1029" spans="1:2" x14ac:dyDescent="0.2">
      <c r="B1029" s="1" t="s">
        <v>1958</v>
      </c>
    </row>
    <row r="1033" spans="1:2" x14ac:dyDescent="0.2">
      <c r="B1033" s="1" t="s">
        <v>1959</v>
      </c>
    </row>
    <row r="1036" spans="1:2" x14ac:dyDescent="0.2">
      <c r="A1036" s="283" t="s">
        <v>1960</v>
      </c>
    </row>
    <row r="1041" spans="1:4" x14ac:dyDescent="0.2">
      <c r="A1041" s="282" t="s">
        <v>1961</v>
      </c>
    </row>
    <row r="1042" spans="1:4" x14ac:dyDescent="0.2">
      <c r="A1042" s="283" t="s">
        <v>1962</v>
      </c>
    </row>
    <row r="1043" spans="1:4" x14ac:dyDescent="0.2">
      <c r="A1043" s="283" t="s">
        <v>1963</v>
      </c>
    </row>
    <row r="1044" spans="1:4" x14ac:dyDescent="0.2">
      <c r="A1044" s="283" t="s">
        <v>1964</v>
      </c>
    </row>
    <row r="1046" spans="1:4" x14ac:dyDescent="0.2">
      <c r="C1046" s="25" t="s">
        <v>35</v>
      </c>
      <c r="D1046" s="25" t="s">
        <v>52</v>
      </c>
    </row>
    <row r="1047" spans="1:4" x14ac:dyDescent="0.2">
      <c r="C1047" s="1">
        <v>0</v>
      </c>
      <c r="D1047" s="1">
        <v>-100000</v>
      </c>
    </row>
    <row r="1048" spans="1:4" x14ac:dyDescent="0.2">
      <c r="C1048" s="1">
        <f t="shared" ref="C1048:C1056" si="5">C1047+1</f>
        <v>1</v>
      </c>
      <c r="D1048" s="1">
        <v>0</v>
      </c>
    </row>
    <row r="1049" spans="1:4" x14ac:dyDescent="0.2">
      <c r="C1049" s="1">
        <f t="shared" si="5"/>
        <v>2</v>
      </c>
      <c r="D1049" s="1">
        <v>0</v>
      </c>
    </row>
    <row r="1050" spans="1:4" x14ac:dyDescent="0.2">
      <c r="B1050" s="1" t="s">
        <v>1965</v>
      </c>
      <c r="C1050" s="1">
        <f t="shared" si="5"/>
        <v>3</v>
      </c>
      <c r="D1050" s="1">
        <v>30000</v>
      </c>
    </row>
    <row r="1051" spans="1:4" x14ac:dyDescent="0.2">
      <c r="B1051" s="1" t="s">
        <v>1966</v>
      </c>
      <c r="C1051" s="1">
        <f t="shared" si="5"/>
        <v>4</v>
      </c>
      <c r="D1051" s="1">
        <f t="shared" ref="D1051:D1056" si="6">D1050</f>
        <v>30000</v>
      </c>
    </row>
    <row r="1052" spans="1:4" x14ac:dyDescent="0.2">
      <c r="B1052" s="1" t="s">
        <v>1967</v>
      </c>
      <c r="C1052" s="1">
        <f t="shared" si="5"/>
        <v>5</v>
      </c>
      <c r="D1052" s="1">
        <f t="shared" si="6"/>
        <v>30000</v>
      </c>
    </row>
    <row r="1053" spans="1:4" x14ac:dyDescent="0.2">
      <c r="B1053" s="1" t="s">
        <v>1968</v>
      </c>
      <c r="C1053" s="1">
        <f t="shared" si="5"/>
        <v>6</v>
      </c>
      <c r="D1053" s="1">
        <f t="shared" si="6"/>
        <v>30000</v>
      </c>
    </row>
    <row r="1054" spans="1:4" x14ac:dyDescent="0.2">
      <c r="B1054" s="1" t="s">
        <v>1969</v>
      </c>
      <c r="C1054" s="1">
        <f t="shared" si="5"/>
        <v>7</v>
      </c>
      <c r="D1054" s="1">
        <f t="shared" si="6"/>
        <v>30000</v>
      </c>
    </row>
    <row r="1055" spans="1:4" x14ac:dyDescent="0.2">
      <c r="B1055" s="1" t="s">
        <v>1970</v>
      </c>
      <c r="C1055" s="1">
        <f t="shared" si="5"/>
        <v>8</v>
      </c>
      <c r="D1055" s="1">
        <f t="shared" si="6"/>
        <v>30000</v>
      </c>
    </row>
    <row r="1056" spans="1:4" x14ac:dyDescent="0.2">
      <c r="B1056" s="1" t="s">
        <v>1971</v>
      </c>
      <c r="C1056" s="1">
        <f t="shared" si="5"/>
        <v>9</v>
      </c>
      <c r="D1056" s="1">
        <f t="shared" si="6"/>
        <v>30000</v>
      </c>
    </row>
    <row r="1058" spans="1:8" x14ac:dyDescent="0.2">
      <c r="D1058" s="43">
        <f>IRR(D1047:D1056)</f>
        <v>0.13789558950995673</v>
      </c>
      <c r="F1058" s="1" t="str">
        <f ca="1">_xlfn.FORMULATEXT(D1058)</f>
        <v>=IRR(D1047:D1056)</v>
      </c>
    </row>
    <row r="1060" spans="1:8" x14ac:dyDescent="0.2">
      <c r="B1060" s="1" t="s">
        <v>1972</v>
      </c>
    </row>
    <row r="1062" spans="1:8" x14ac:dyDescent="0.2">
      <c r="A1062" s="282" t="s">
        <v>1973</v>
      </c>
    </row>
    <row r="1063" spans="1:8" x14ac:dyDescent="0.2">
      <c r="B1063" s="1" t="s">
        <v>1974</v>
      </c>
    </row>
    <row r="1064" spans="1:8" x14ac:dyDescent="0.2">
      <c r="B1064" s="1" t="s">
        <v>1975</v>
      </c>
    </row>
    <row r="1065" spans="1:8" x14ac:dyDescent="0.2">
      <c r="B1065" s="1" t="s">
        <v>1976</v>
      </c>
    </row>
    <row r="1066" spans="1:8" x14ac:dyDescent="0.2">
      <c r="B1066" s="1" t="s">
        <v>1977</v>
      </c>
    </row>
    <row r="1067" spans="1:8" x14ac:dyDescent="0.2">
      <c r="B1067" s="1" t="s">
        <v>1978</v>
      </c>
    </row>
    <row r="1068" spans="1:8" x14ac:dyDescent="0.2">
      <c r="B1068" s="1" t="s">
        <v>1979</v>
      </c>
    </row>
    <row r="1069" spans="1:8" x14ac:dyDescent="0.2">
      <c r="B1069" s="1" t="s">
        <v>1980</v>
      </c>
    </row>
    <row r="1070" spans="1:8" ht="17" thickBot="1" x14ac:dyDescent="0.25"/>
    <row r="1071" spans="1:8" x14ac:dyDescent="0.2">
      <c r="B1071" s="16" t="s">
        <v>1981</v>
      </c>
      <c r="C1071" s="17"/>
      <c r="D1071" s="17"/>
      <c r="E1071" s="17"/>
      <c r="F1071" s="17"/>
      <c r="G1071" s="17"/>
      <c r="H1071" s="18"/>
    </row>
    <row r="1072" spans="1:8" x14ac:dyDescent="0.2">
      <c r="B1072" s="19"/>
      <c r="C1072" s="1" t="s">
        <v>1982</v>
      </c>
      <c r="D1072" s="1" t="s">
        <v>1983</v>
      </c>
      <c r="H1072" s="20"/>
    </row>
    <row r="1073" spans="1:8" x14ac:dyDescent="0.2">
      <c r="B1073" s="19"/>
      <c r="H1073" s="20"/>
    </row>
    <row r="1074" spans="1:8" x14ac:dyDescent="0.2">
      <c r="B1074" s="19" t="s">
        <v>1984</v>
      </c>
      <c r="H1074" s="20"/>
    </row>
    <row r="1075" spans="1:8" x14ac:dyDescent="0.2">
      <c r="B1075" s="19"/>
      <c r="D1075" s="1" t="s">
        <v>1985</v>
      </c>
      <c r="H1075" s="20"/>
    </row>
    <row r="1076" spans="1:8" x14ac:dyDescent="0.2">
      <c r="B1076" s="19"/>
      <c r="H1076" s="20"/>
    </row>
    <row r="1077" spans="1:8" x14ac:dyDescent="0.2">
      <c r="B1077" s="19" t="s">
        <v>1986</v>
      </c>
      <c r="H1077" s="20"/>
    </row>
    <row r="1078" spans="1:8" x14ac:dyDescent="0.2">
      <c r="B1078" s="19" t="s">
        <v>1987</v>
      </c>
      <c r="H1078" s="20"/>
    </row>
    <row r="1079" spans="1:8" ht="17" thickBot="1" x14ac:dyDescent="0.25">
      <c r="B1079" s="21"/>
      <c r="C1079" s="22"/>
      <c r="D1079" s="22" t="s">
        <v>1988</v>
      </c>
      <c r="E1079" s="22"/>
      <c r="F1079" s="22"/>
      <c r="G1079" s="22"/>
      <c r="H1079" s="23"/>
    </row>
    <row r="1082" spans="1:8" x14ac:dyDescent="0.2">
      <c r="A1082" s="294" t="s">
        <v>1989</v>
      </c>
      <c r="B1082" s="245"/>
      <c r="C1082" s="245"/>
      <c r="D1082" s="245"/>
      <c r="E1082" s="245"/>
      <c r="F1082" s="245"/>
      <c r="G1082" s="245"/>
      <c r="H1082" s="245" t="s">
        <v>1678</v>
      </c>
    </row>
    <row r="1083" spans="1:8" x14ac:dyDescent="0.2">
      <c r="A1083" s="283" t="s">
        <v>1990</v>
      </c>
    </row>
    <row r="1084" spans="1:8" x14ac:dyDescent="0.2">
      <c r="A1084" s="283" t="s">
        <v>1991</v>
      </c>
    </row>
    <row r="1085" spans="1:8" x14ac:dyDescent="0.2">
      <c r="A1085" s="283" t="s">
        <v>1992</v>
      </c>
    </row>
    <row r="1086" spans="1:8" x14ac:dyDescent="0.2">
      <c r="A1086" s="283" t="s">
        <v>1993</v>
      </c>
    </row>
    <row r="1087" spans="1:8" x14ac:dyDescent="0.2">
      <c r="A1087" s="283" t="s">
        <v>1994</v>
      </c>
    </row>
    <row r="1088" spans="1:8" x14ac:dyDescent="0.2">
      <c r="A1088" s="283" t="s">
        <v>1995</v>
      </c>
    </row>
    <row r="1089" spans="1:8" x14ac:dyDescent="0.2">
      <c r="A1089" s="283" t="s">
        <v>1996</v>
      </c>
    </row>
    <row r="1091" spans="1:8" x14ac:dyDescent="0.2">
      <c r="A1091" s="283" t="s">
        <v>1997</v>
      </c>
    </row>
    <row r="1093" spans="1:8" x14ac:dyDescent="0.2">
      <c r="A1093" s="295" t="s">
        <v>1998</v>
      </c>
      <c r="B1093" s="38"/>
      <c r="C1093" s="38"/>
      <c r="D1093" s="38"/>
      <c r="E1093" s="38"/>
      <c r="F1093" s="38"/>
      <c r="G1093" s="38"/>
      <c r="H1093" s="38"/>
    </row>
    <row r="1095" spans="1:8" x14ac:dyDescent="0.2">
      <c r="A1095" s="283" t="s">
        <v>1999</v>
      </c>
    </row>
    <row r="1096" spans="1:8" x14ac:dyDescent="0.2">
      <c r="A1096" s="283" t="s">
        <v>2000</v>
      </c>
    </row>
    <row r="1098" spans="1:8" x14ac:dyDescent="0.2">
      <c r="A1098" s="283" t="s">
        <v>2001</v>
      </c>
    </row>
    <row r="1099" spans="1:8" x14ac:dyDescent="0.2">
      <c r="A1099" s="281" t="s">
        <v>2002</v>
      </c>
      <c r="B1099" s="3"/>
      <c r="C1099" s="3"/>
      <c r="D1099" s="3"/>
      <c r="E1099" s="3"/>
      <c r="F1099" s="3"/>
      <c r="G1099" s="3"/>
      <c r="H1099" s="3"/>
    </row>
    <row r="1100" spans="1:8" x14ac:dyDescent="0.2">
      <c r="A1100" s="281" t="s">
        <v>2003</v>
      </c>
      <c r="B1100" s="3"/>
      <c r="C1100" s="3"/>
      <c r="D1100" s="3"/>
      <c r="E1100" s="3"/>
      <c r="F1100" s="3"/>
      <c r="G1100" s="3"/>
      <c r="H1100" s="3"/>
    </row>
    <row r="1101" spans="1:8" x14ac:dyDescent="0.2">
      <c r="A1101" s="281" t="s">
        <v>2004</v>
      </c>
      <c r="B1101" s="3"/>
      <c r="C1101" s="3"/>
      <c r="D1101" s="3"/>
      <c r="E1101" s="3"/>
      <c r="F1101" s="3"/>
      <c r="G1101" s="3"/>
      <c r="H1101" s="3"/>
    </row>
    <row r="1102" spans="1:8" x14ac:dyDescent="0.2">
      <c r="A1102" s="281" t="s">
        <v>2005</v>
      </c>
      <c r="B1102" s="3"/>
      <c r="C1102" s="3"/>
      <c r="D1102" s="3"/>
      <c r="E1102" s="3"/>
      <c r="F1102" s="3"/>
      <c r="G1102" s="3"/>
      <c r="H1102" s="3"/>
    </row>
    <row r="1104" spans="1:8" x14ac:dyDescent="0.2">
      <c r="A1104" s="282" t="s">
        <v>1936</v>
      </c>
    </row>
    <row r="1105" spans="2:7" x14ac:dyDescent="0.2">
      <c r="B1105" s="1" t="s">
        <v>2006</v>
      </c>
      <c r="D1105" s="1">
        <f>7%*100</f>
        <v>7.0000000000000009</v>
      </c>
      <c r="F1105" s="1" t="s">
        <v>2007</v>
      </c>
    </row>
    <row r="1107" spans="2:7" x14ac:dyDescent="0.2">
      <c r="F1107" s="1" t="s">
        <v>304</v>
      </c>
      <c r="G1107" s="1" t="s">
        <v>2008</v>
      </c>
    </row>
    <row r="1108" spans="2:7" x14ac:dyDescent="0.2">
      <c r="F1108" s="1" t="s">
        <v>2009</v>
      </c>
      <c r="G1108" s="1" t="s">
        <v>2010</v>
      </c>
    </row>
    <row r="1109" spans="2:7" x14ac:dyDescent="0.2">
      <c r="F1109" s="1" t="s">
        <v>104</v>
      </c>
    </row>
    <row r="1111" spans="2:7" x14ac:dyDescent="0.2">
      <c r="B1111" s="1" t="s">
        <v>2011</v>
      </c>
      <c r="D1111" s="1">
        <v>95</v>
      </c>
    </row>
    <row r="1112" spans="2:7" ht="17" thickBot="1" x14ac:dyDescent="0.25"/>
    <row r="1113" spans="2:7" ht="17" thickBot="1" x14ac:dyDescent="0.25">
      <c r="B1113" s="1" t="s">
        <v>2012</v>
      </c>
      <c r="D1113" s="257">
        <f>D1105/D1111</f>
        <v>7.3684210526315796E-2</v>
      </c>
      <c r="E1113" s="258" t="s">
        <v>2013</v>
      </c>
      <c r="F1113" s="1" t="s">
        <v>2014</v>
      </c>
    </row>
    <row r="1114" spans="2:7" x14ac:dyDescent="0.2">
      <c r="D1114" s="259"/>
    </row>
    <row r="1115" spans="2:7" x14ac:dyDescent="0.2">
      <c r="D1115" s="259"/>
    </row>
    <row r="1116" spans="2:7" x14ac:dyDescent="0.2">
      <c r="D1116" s="259"/>
      <c r="F1116" s="1" t="s">
        <v>2015</v>
      </c>
      <c r="G1116" s="1" t="s">
        <v>2016</v>
      </c>
    </row>
    <row r="1117" spans="2:7" x14ac:dyDescent="0.2">
      <c r="D1117" s="259"/>
      <c r="F1117" s="1" t="s">
        <v>2017</v>
      </c>
      <c r="G1117" s="1" t="s">
        <v>2018</v>
      </c>
    </row>
    <row r="1118" spans="2:7" x14ac:dyDescent="0.2">
      <c r="D1118" s="259"/>
    </row>
    <row r="1119" spans="2:7" x14ac:dyDescent="0.2">
      <c r="B1119" s="1" t="s">
        <v>2019</v>
      </c>
      <c r="D1119" s="259"/>
    </row>
    <row r="1120" spans="2:7" x14ac:dyDescent="0.2">
      <c r="B1120" s="1" t="s">
        <v>2020</v>
      </c>
      <c r="D1120" s="259"/>
    </row>
    <row r="1121" spans="1:4" x14ac:dyDescent="0.2">
      <c r="B1121" s="1" t="s">
        <v>2021</v>
      </c>
      <c r="D1121" s="259"/>
    </row>
    <row r="1122" spans="1:4" x14ac:dyDescent="0.2">
      <c r="B1122" s="1" t="s">
        <v>2022</v>
      </c>
      <c r="D1122" s="259"/>
    </row>
    <row r="1124" spans="1:4" x14ac:dyDescent="0.2">
      <c r="A1124" s="282" t="s">
        <v>2023</v>
      </c>
    </row>
    <row r="1125" spans="1:4" x14ac:dyDescent="0.2">
      <c r="A1125" s="283" t="s">
        <v>2024</v>
      </c>
    </row>
    <row r="1126" spans="1:4" x14ac:dyDescent="0.2">
      <c r="A1126" s="283" t="s">
        <v>2025</v>
      </c>
    </row>
    <row r="1127" spans="1:4" x14ac:dyDescent="0.2">
      <c r="A1127" s="283" t="s">
        <v>2026</v>
      </c>
    </row>
    <row r="1132" spans="1:4" x14ac:dyDescent="0.2">
      <c r="C1132" s="43"/>
    </row>
    <row r="1134" spans="1:4" x14ac:dyDescent="0.2">
      <c r="A1134" s="282" t="s">
        <v>2027</v>
      </c>
    </row>
    <row r="1135" spans="1:4" x14ac:dyDescent="0.2">
      <c r="A1135" s="283" t="s">
        <v>2028</v>
      </c>
    </row>
    <row r="1136" spans="1:4" x14ac:dyDescent="0.2">
      <c r="A1136" s="283" t="s">
        <v>2029</v>
      </c>
    </row>
    <row r="1137" spans="1:7" x14ac:dyDescent="0.2">
      <c r="A1137" s="283" t="s">
        <v>2030</v>
      </c>
    </row>
    <row r="1141" spans="1:7" x14ac:dyDescent="0.2">
      <c r="G1141" s="1" t="s">
        <v>2031</v>
      </c>
    </row>
    <row r="1142" spans="1:7" x14ac:dyDescent="0.2">
      <c r="A1142" s="283" t="s">
        <v>2032</v>
      </c>
      <c r="G1142" s="1" t="s">
        <v>2033</v>
      </c>
    </row>
    <row r="1143" spans="1:7" x14ac:dyDescent="0.2">
      <c r="A1143" s="283" t="s">
        <v>2034</v>
      </c>
    </row>
    <row r="1145" spans="1:7" x14ac:dyDescent="0.2">
      <c r="A1145" s="283" t="s">
        <v>2035</v>
      </c>
    </row>
    <row r="1149" spans="1:7" x14ac:dyDescent="0.2">
      <c r="A1149" s="283" t="s">
        <v>2036</v>
      </c>
    </row>
    <row r="1153" spans="1:7" x14ac:dyDescent="0.2">
      <c r="A1153" s="282" t="s">
        <v>2037</v>
      </c>
    </row>
    <row r="1154" spans="1:7" x14ac:dyDescent="0.2">
      <c r="B1154" s="1" t="s">
        <v>2038</v>
      </c>
    </row>
    <row r="1155" spans="1:7" x14ac:dyDescent="0.2">
      <c r="B1155" s="1" t="s">
        <v>2039</v>
      </c>
    </row>
    <row r="1157" spans="1:7" x14ac:dyDescent="0.2">
      <c r="B1157" s="1" t="s">
        <v>2040</v>
      </c>
    </row>
    <row r="1158" spans="1:7" x14ac:dyDescent="0.2">
      <c r="B1158" s="1" t="s">
        <v>2041</v>
      </c>
    </row>
    <row r="1161" spans="1:7" x14ac:dyDescent="0.2">
      <c r="B1161" s="1" t="s">
        <v>2042</v>
      </c>
      <c r="C1161" s="12">
        <f>95000+206250</f>
        <v>301250</v>
      </c>
    </row>
    <row r="1163" spans="1:7" x14ac:dyDescent="0.2">
      <c r="B1163" s="1" t="s">
        <v>2043</v>
      </c>
      <c r="D1163" s="1">
        <f>206250/C1161</f>
        <v>0.68464730290456433</v>
      </c>
      <c r="G1163" s="1" t="s">
        <v>2044</v>
      </c>
    </row>
    <row r="1165" spans="1:7" x14ac:dyDescent="0.2">
      <c r="B1165" s="1" t="s">
        <v>2045</v>
      </c>
      <c r="D1165" s="1">
        <f>1-D1163</f>
        <v>0.31535269709543567</v>
      </c>
      <c r="G1165" s="1" t="s">
        <v>2046</v>
      </c>
    </row>
    <row r="1167" spans="1:7" x14ac:dyDescent="0.2">
      <c r="B1167" s="1" t="s">
        <v>2047</v>
      </c>
      <c r="D1167" s="88">
        <f>D1163*32%+D1165*D1113*(1-23%)</f>
        <v>0.23697925311203319</v>
      </c>
      <c r="G1167" s="1" t="str">
        <f ca="1">_xlfn.FORMULATEXT(D1167)</f>
        <v>=D1163*32%+D1165*D1113*(1-23%)</v>
      </c>
    </row>
    <row r="1170" spans="6:7" x14ac:dyDescent="0.2">
      <c r="F1170" s="1" t="s">
        <v>2048</v>
      </c>
      <c r="G1170" s="1" t="s">
        <v>2048</v>
      </c>
    </row>
    <row r="1171" spans="6:7" x14ac:dyDescent="0.2">
      <c r="F1171" s="1" t="s">
        <v>2049</v>
      </c>
      <c r="G1171" s="1" t="s">
        <v>2050</v>
      </c>
    </row>
    <row r="1172" spans="6:7" x14ac:dyDescent="0.2">
      <c r="F1172" s="1" t="s">
        <v>2051</v>
      </c>
      <c r="G1172" s="1" t="s">
        <v>2052</v>
      </c>
    </row>
  </sheetData>
  <mergeCells count="1">
    <mergeCell ref="A9:G9"/>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COVER</vt:lpstr>
      <vt:lpstr>1</vt:lpstr>
      <vt:lpstr>2</vt:lpstr>
      <vt:lpstr>3</vt:lpstr>
      <vt:lpstr>4</vt:lpstr>
      <vt:lpstr>5</vt:lpstr>
      <vt:lpstr>6</vt:lpstr>
      <vt:lpstr>7</vt:lpstr>
      <vt:lpstr>8</vt:lpstr>
      <vt:lpstr>9</vt:lpstr>
      <vt:lpstr>10 New</vt:lpstr>
      <vt:lpstr>11 New</vt:lpstr>
      <vt:lpstr>12 New</vt:lpstr>
      <vt:lpstr>10</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Shay Tsaban</cp:lastModifiedBy>
  <cp:revision/>
  <cp:lastPrinted>2024-12-30T07:48:41Z</cp:lastPrinted>
  <dcterms:created xsi:type="dcterms:W3CDTF">2022-10-11T07:22:15Z</dcterms:created>
  <dcterms:modified xsi:type="dcterms:W3CDTF">2025-01-21T13:28:39Z</dcterms:modified>
  <cp:category/>
  <cp:contentStatus/>
</cp:coreProperties>
</file>